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G:\חטיבת הנדסה\אגף ב\פרויקטים\ציר הנופש\מכרז מתאם מנהרות\02 תעריף מתאם מנהרת תשתיות\"/>
    </mc:Choice>
  </mc:AlternateContent>
  <xr:revisionPtr revIDLastSave="0" documentId="8_{D1876689-1AA8-47E6-B771-B58D1ABA3EB5}" xr6:coauthVersionLast="47" xr6:coauthVersionMax="47" xr10:uidLastSave="{00000000-0000-0000-0000-000000000000}"/>
  <bookViews>
    <workbookView xWindow="28680" yWindow="-120" windowWidth="29040" windowHeight="15840" tabRatio="793" firstSheet="1" activeTab="1" xr2:uid="{284C37F2-2526-4FA7-8491-AEF3E8DB749C}"/>
  </bookViews>
  <sheets>
    <sheet name="טבלת עזר לחישוב" sheetId="20" state="hidden" r:id="rId1"/>
    <sheet name="חישוב שכ&quot;ט מתאם מנהרת תשתיות" sheetId="1" r:id="rId2"/>
    <sheet name="חתך המנהרה" sheetId="2" r:id="rId3"/>
  </sheets>
  <definedNames>
    <definedName name="_xlnm.Print_Area" localSheetId="1">'חישוב שכ"ט מתאם מנהרת תשתיות'!$A$1:$G$174</definedName>
    <definedName name="_xlnm.Print_Area" localSheetId="2">'חתך המנהרה'!$A$1:$U$53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8" i="1" l="1"/>
  <c r="C170" i="1"/>
  <c r="E29" i="1" s="1"/>
  <c r="C171" i="1"/>
  <c r="E30" i="1" s="1"/>
  <c r="A165" i="1" l="1"/>
  <c r="A149" i="1"/>
  <c r="C150" i="1" s="1"/>
  <c r="A133" i="1"/>
  <c r="A117" i="1"/>
  <c r="A101" i="1"/>
  <c r="C104" i="1" s="1"/>
  <c r="A85" i="1"/>
  <c r="A69" i="1"/>
  <c r="A53" i="1"/>
  <c r="C54" i="1" s="1"/>
  <c r="D41" i="1"/>
  <c r="D42" i="1"/>
  <c r="D43" i="1"/>
  <c r="D44" i="1"/>
  <c r="D45" i="1"/>
  <c r="D46" i="1"/>
  <c r="C11" i="2"/>
  <c r="C17" i="1" s="1"/>
  <c r="C61" i="1" s="1"/>
  <c r="C5" i="1"/>
  <c r="C62" i="1" s="1"/>
  <c r="C33" i="2"/>
  <c r="C31" i="2"/>
  <c r="G32" i="2"/>
  <c r="G33" i="2"/>
  <c r="G34" i="2"/>
  <c r="G35" i="2"/>
  <c r="G36" i="2"/>
  <c r="G37" i="2"/>
  <c r="G31" i="2"/>
  <c r="C35" i="2"/>
  <c r="C36" i="2"/>
  <c r="C37" i="2"/>
  <c r="G19" i="2"/>
  <c r="G21" i="2"/>
  <c r="G22" i="2"/>
  <c r="G23" i="2"/>
  <c r="G24" i="2"/>
  <c r="G18" i="2"/>
  <c r="G10" i="2"/>
  <c r="G9" i="2"/>
  <c r="G8" i="2"/>
  <c r="C23" i="2"/>
  <c r="C24" i="2"/>
  <c r="C22" i="2"/>
  <c r="C20" i="2"/>
  <c r="C18" i="2"/>
  <c r="C12" i="20"/>
  <c r="C13" i="20"/>
  <c r="C11" i="20"/>
  <c r="D5" i="20"/>
  <c r="C14" i="20" s="1"/>
  <c r="C8" i="2"/>
  <c r="C14" i="1" s="1"/>
  <c r="C58" i="1" s="1"/>
  <c r="C10" i="2"/>
  <c r="C16" i="1" s="1"/>
  <c r="C60" i="1" s="1"/>
  <c r="C154" i="1" l="1"/>
  <c r="C156" i="1"/>
  <c r="C152" i="1"/>
  <c r="C138" i="1"/>
  <c r="C157" i="1"/>
  <c r="C158" i="1"/>
  <c r="C140" i="1"/>
  <c r="C72" i="1"/>
  <c r="C141" i="1"/>
  <c r="C142" i="1"/>
  <c r="C136" i="1"/>
  <c r="C134" i="1"/>
  <c r="C146" i="1" s="1"/>
  <c r="E25" i="1" s="1"/>
  <c r="C90" i="1"/>
  <c r="C88" i="1"/>
  <c r="C86" i="1"/>
  <c r="C98" i="1" s="1"/>
  <c r="E22" i="1" s="1"/>
  <c r="C70" i="1"/>
  <c r="C108" i="1"/>
  <c r="C124" i="1"/>
  <c r="C109" i="1"/>
  <c r="C125" i="1"/>
  <c r="C92" i="1"/>
  <c r="C110" i="1"/>
  <c r="C126" i="1"/>
  <c r="C93" i="1"/>
  <c r="C120" i="1"/>
  <c r="C94" i="1"/>
  <c r="C106" i="1"/>
  <c r="C122" i="1"/>
  <c r="C102" i="1"/>
  <c r="C114" i="1" s="1"/>
  <c r="E23" i="1" s="1"/>
  <c r="C78" i="1"/>
  <c r="C16" i="20"/>
  <c r="D6" i="20"/>
  <c r="C15" i="20"/>
  <c r="C21" i="20" l="1"/>
  <c r="C29" i="20"/>
  <c r="C24" i="20"/>
  <c r="C22" i="20"/>
  <c r="C30" i="20"/>
  <c r="C27" i="20"/>
  <c r="C20" i="20"/>
  <c r="C23" i="20"/>
  <c r="C31" i="20"/>
  <c r="C17" i="20"/>
  <c r="C25" i="20"/>
  <c r="C18" i="20"/>
  <c r="C26" i="20"/>
  <c r="C19" i="20"/>
  <c r="C28" i="20"/>
  <c r="C45" i="2"/>
  <c r="C46" i="2"/>
  <c r="C47" i="2"/>
  <c r="C48" i="2"/>
  <c r="C49" i="2"/>
  <c r="C50" i="2"/>
  <c r="C44" i="2"/>
  <c r="G51" i="2"/>
  <c r="E51" i="2"/>
  <c r="A51" i="2"/>
  <c r="E38" i="2"/>
  <c r="C9" i="2" s="1"/>
  <c r="C15" i="1" s="1"/>
  <c r="A38" i="2"/>
  <c r="E25" i="2"/>
  <c r="A25" i="2"/>
  <c r="C77" i="1"/>
  <c r="C74" i="1"/>
  <c r="D40" i="1"/>
  <c r="C56" i="1" s="1"/>
  <c r="C8" i="1"/>
  <c r="X1" i="1"/>
  <c r="W4" i="1" s="1"/>
  <c r="W5" i="1" s="1"/>
  <c r="C59" i="1" l="1"/>
  <c r="C139" i="1"/>
  <c r="C123" i="1"/>
  <c r="C107" i="1"/>
  <c r="C155" i="1"/>
  <c r="C91" i="1"/>
  <c r="C144" i="1"/>
  <c r="C160" i="1"/>
  <c r="C80" i="1"/>
  <c r="C96" i="1"/>
  <c r="C128" i="1"/>
  <c r="C112" i="1"/>
  <c r="C3" i="2"/>
  <c r="C11" i="1" s="1"/>
  <c r="G38" i="2"/>
  <c r="C25" i="2"/>
  <c r="G25" i="2"/>
  <c r="C38" i="2"/>
  <c r="C51" i="2"/>
  <c r="C64" i="1"/>
  <c r="W6" i="1"/>
  <c r="W7" i="1" s="1"/>
  <c r="W8" i="1" s="1"/>
  <c r="C75" i="1" l="1"/>
  <c r="C76" i="1"/>
  <c r="C4" i="2"/>
  <c r="C12" i="1" s="1"/>
  <c r="C5" i="2" l="1"/>
  <c r="C13" i="1" s="1"/>
  <c r="C89" i="1" l="1"/>
  <c r="C95" i="1" s="1"/>
  <c r="C97" i="1" s="1"/>
  <c r="C153" i="1"/>
  <c r="C159" i="1" s="1"/>
  <c r="C161" i="1" s="1"/>
  <c r="C162" i="1" s="1"/>
  <c r="E26" i="1" s="1"/>
  <c r="C105" i="1"/>
  <c r="C111" i="1" s="1"/>
  <c r="C113" i="1" s="1"/>
  <c r="C121" i="1"/>
  <c r="C127" i="1" s="1"/>
  <c r="C129" i="1" s="1"/>
  <c r="C130" i="1" s="1"/>
  <c r="E24" i="1" s="1"/>
  <c r="C137" i="1"/>
  <c r="C143" i="1" s="1"/>
  <c r="C145" i="1" s="1"/>
  <c r="C73" i="1"/>
  <c r="C57" i="1"/>
  <c r="C63" i="1" s="1"/>
  <c r="C79" i="1" l="1"/>
  <c r="C81" i="1" s="1"/>
  <c r="C82" i="1" s="1"/>
  <c r="C169" i="1" s="1"/>
  <c r="C65" i="1"/>
  <c r="C66" i="1" s="1"/>
  <c r="C168" i="1" s="1"/>
  <c r="E20" i="1" l="1"/>
  <c r="E28" i="1"/>
  <c r="E21" i="1"/>
  <c r="E27" i="1" l="1"/>
  <c r="C172" i="1"/>
  <c r="E31" i="1" s="1"/>
</calcChain>
</file>

<file path=xl/sharedStrings.xml><?xml version="1.0" encoding="utf-8"?>
<sst xmlns="http://schemas.openxmlformats.org/spreadsheetml/2006/main" count="355" uniqueCount="160">
  <si>
    <t>תעריפי יסוד למשימות תכנון עיקריות</t>
  </si>
  <si>
    <t>פיקוח עליון</t>
  </si>
  <si>
    <t>סד'</t>
  </si>
  <si>
    <t>תיאור</t>
  </si>
  <si>
    <t>הסבר</t>
  </si>
  <si>
    <t>ללא מגבלת חלופות.</t>
  </si>
  <si>
    <t>צוות מלווה או תהליך ות"ל: + 10% לסעיף זה</t>
  </si>
  <si>
    <t>קצא"א</t>
  </si>
  <si>
    <t>גז חלוקה</t>
  </si>
  <si>
    <t>קמ"ד</t>
  </si>
  <si>
    <t>בקרת מנהרה</t>
  </si>
  <si>
    <t>בקרה</t>
  </si>
  <si>
    <t>מערכות בקרה חיצונית</t>
  </si>
  <si>
    <t>עתודה</t>
  </si>
  <si>
    <t>חח"י מתח עליון</t>
  </si>
  <si>
    <t>סניקת ביוב</t>
  </si>
  <si>
    <t>סניקת קולחין עתודה</t>
  </si>
  <si>
    <t>כן</t>
  </si>
  <si>
    <t>לא</t>
  </si>
  <si>
    <t>גז טבעי - הולכה</t>
  </si>
  <si>
    <t>דלק</t>
  </si>
  <si>
    <t>גז</t>
  </si>
  <si>
    <t>חשמל</t>
  </si>
  <si>
    <t>עתודה חח"י מתח עליון</t>
  </si>
  <si>
    <t xml:space="preserve"> </t>
  </si>
  <si>
    <t>אורך מנהרה</t>
  </si>
  <si>
    <t>מקדם הפחתה</t>
  </si>
  <si>
    <t>מחיר/מקדם חישוב</t>
  </si>
  <si>
    <t>מקדם - חשמל מתח עליון</t>
  </si>
  <si>
    <t>מקדם - גז</t>
  </si>
  <si>
    <t>סה"כ</t>
  </si>
  <si>
    <t>מחיר בסיס עבור תכנון תוואי - תכנון מוקדם</t>
  </si>
  <si>
    <t>סה"כ לפי אחוז שירותים חלקיים</t>
  </si>
  <si>
    <r>
      <rPr>
        <sz val="11"/>
        <color theme="1"/>
        <rFont val="Tahoma"/>
        <family val="2"/>
      </rPr>
      <t>שכר מבוקש עבור</t>
    </r>
    <r>
      <rPr>
        <b/>
        <sz val="11"/>
        <color theme="1"/>
        <rFont val="Tahoma"/>
        <family val="2"/>
      </rPr>
      <t xml:space="preserve"> פיקוח עליון:</t>
    </r>
  </si>
  <si>
    <t>מקרא:</t>
  </si>
  <si>
    <t>קלט - הכנס נתונים</t>
  </si>
  <si>
    <t xml:space="preserve">פלט </t>
  </si>
  <si>
    <t>רמזורים</t>
  </si>
  <si>
    <t>בזק</t>
  </si>
  <si>
    <t>הוט</t>
  </si>
  <si>
    <t>פרטנר</t>
  </si>
  <si>
    <t>סלקום</t>
  </si>
  <si>
    <t>אנלימיטד</t>
  </si>
  <si>
    <t>על פי הצורך. ללא מגבלת חלופות</t>
  </si>
  <si>
    <t>מקדם - דלק - קצא"א</t>
  </si>
  <si>
    <t>מקדם - דלק - תש"ן</t>
  </si>
  <si>
    <t>כללי</t>
  </si>
  <si>
    <t>סוג כבל/צינור</t>
  </si>
  <si>
    <t>מס' כבלים במנהרה</t>
  </si>
  <si>
    <t>סה"כ מערכות נחשבות במנהרה:</t>
  </si>
  <si>
    <t>מס' מערכות נחשבות</t>
  </si>
  <si>
    <t>סה"כ מערכות תשתיות נחשבות במנהרה:</t>
  </si>
  <si>
    <t>מקדם - תוספת עבור כל מערכת תשתית נחשבת במנהרה</t>
  </si>
  <si>
    <t>1 חברה = 1 מערכת נחשבת</t>
  </si>
  <si>
    <t>לא נספרים כמערכות נחשבות</t>
  </si>
  <si>
    <t>חשמל מתח עליון/על</t>
  </si>
  <si>
    <t>דלק - קצא"א</t>
  </si>
  <si>
    <t>דלק - תש"ן</t>
  </si>
  <si>
    <t>מערכות קיימות במנהרה:</t>
  </si>
  <si>
    <t>תשתיות חשמל מתח עליון/על</t>
  </si>
  <si>
    <t>תשתיות גז</t>
  </si>
  <si>
    <t>תשתיות דלק - קצא"א</t>
  </si>
  <si>
    <t>תשתיות דלק - תש"ן</t>
  </si>
  <si>
    <t>פירוט עלויות לפי למשימות תכנון עיקריות</t>
  </si>
  <si>
    <t>עתודה חח"י מתח גבוה</t>
  </si>
  <si>
    <t>סה"כ כבלים לגוף</t>
  </si>
  <si>
    <t>סה"כ מערכות נחשבות</t>
  </si>
  <si>
    <t>קטגוריה</t>
  </si>
  <si>
    <t>מעל 3 כבלים ועד 6 כבלים כולל</t>
  </si>
  <si>
    <t>מעל 6 כבלים</t>
  </si>
  <si>
    <t>ערך נמוך בקטגוריה</t>
  </si>
  <si>
    <t>עד 3 כבלים כולל</t>
  </si>
  <si>
    <t>אחוז נספר</t>
  </si>
  <si>
    <t>מספר כבלים מצטבר של מדרגות קודמות</t>
  </si>
  <si>
    <t>טבלת בדיקה</t>
  </si>
  <si>
    <t>מערכות מנ"מ</t>
  </si>
  <si>
    <t>Xw - כמות מערכות משוקללת:</t>
  </si>
  <si>
    <t>עתודה קצא"א</t>
  </si>
  <si>
    <t>עתודה קמ"ד</t>
  </si>
  <si>
    <t xml:space="preserve">סניקת קולחין </t>
  </si>
  <si>
    <t>מדרגות לחישוב הצינורות</t>
  </si>
  <si>
    <t>צינורות 1-3</t>
  </si>
  <si>
    <t>צינורות 4-6</t>
  </si>
  <si>
    <t>צינורות 7 ומעלה</t>
  </si>
  <si>
    <t>מס' צינורות במנהרה</t>
  </si>
  <si>
    <t>סוג צינור</t>
  </si>
  <si>
    <t>חח"י מתח גבוה (תלת-פאזי)</t>
  </si>
  <si>
    <t>שטח עירוני</t>
  </si>
  <si>
    <t>A - מחיר בסיס 
[₪\ק"מ]</t>
  </si>
  <si>
    <t>Amin - תעריף סופי מינימלי
[₪]</t>
  </si>
  <si>
    <t>פרמטר</t>
  </si>
  <si>
    <t>AxL</t>
  </si>
  <si>
    <r>
      <t>C</t>
    </r>
    <r>
      <rPr>
        <sz val="9"/>
        <color theme="1"/>
        <rFont val="Tahoma"/>
        <family val="2"/>
      </rPr>
      <t>L</t>
    </r>
    <r>
      <rPr>
        <sz val="11"/>
        <color theme="1"/>
        <rFont val="Tahoma"/>
        <family val="2"/>
      </rPr>
      <t xml:space="preserve"> - מקדם הפחתה ע"פ אורך המנהרה</t>
    </r>
  </si>
  <si>
    <t>L - אורך המנהרה [ק"מ]</t>
  </si>
  <si>
    <t>Cu - מקדם שטח עירוני</t>
  </si>
  <si>
    <r>
      <t>C</t>
    </r>
    <r>
      <rPr>
        <sz val="8"/>
        <color theme="1"/>
        <rFont val="Tahoma"/>
        <family val="2"/>
      </rPr>
      <t>T</t>
    </r>
  </si>
  <si>
    <t>Ce</t>
  </si>
  <si>
    <t>Cg</t>
  </si>
  <si>
    <t>Cf1</t>
  </si>
  <si>
    <t>Cf2</t>
  </si>
  <si>
    <r>
      <t>C</t>
    </r>
    <r>
      <rPr>
        <sz val="10"/>
        <color theme="1"/>
        <rFont val="Tahoma"/>
        <family val="2"/>
      </rPr>
      <t>L</t>
    </r>
  </si>
  <si>
    <t>F</t>
  </si>
  <si>
    <t xml:space="preserve"> A*L - מחיר בסיס
[₪]</t>
  </si>
  <si>
    <t>סה"כ כבלים/צינורות במנהרה:</t>
  </si>
  <si>
    <t>מקדם שטח עירוני</t>
  </si>
  <si>
    <t>Cu</t>
  </si>
  <si>
    <t>סה"כ מכפלת מקדמי תוספת</t>
  </si>
  <si>
    <t>מקורות</t>
  </si>
  <si>
    <t>מים, סניקה וביוב</t>
  </si>
  <si>
    <t>חישוב שכר טרחה עבור מתאם מנהרת תשתיות</t>
  </si>
  <si>
    <t>חישוב ע"פ חתך המנהרה</t>
  </si>
  <si>
    <t>תכנון מנהרת תשתית מוקדם</t>
  </si>
  <si>
    <t>תכנון תוואי – סופי, ללא סטטוטוריקה</t>
  </si>
  <si>
    <t>תכנון סופי + תכנון סטטוטורי בועדה</t>
  </si>
  <si>
    <t>תכנון סופי + תכנון סטטוטורי בות"ל/מ"א</t>
  </si>
  <si>
    <t>תכנון תוואי - מפורט</t>
  </si>
  <si>
    <t>תכנון מפורט בפרויקטי תכנון - בצוע / PPP</t>
  </si>
  <si>
    <t>בקרת תכנון בפרויקטי תכנון - בצוע / PPP</t>
  </si>
  <si>
    <t>ללא מגבלת חלופות. על הקטעים הרלוונטיים בלבד.</t>
  </si>
  <si>
    <t>סיווג שטח</t>
  </si>
  <si>
    <t>אורך
מנהרה</t>
  </si>
  <si>
    <t>חתך מנהרה</t>
  </si>
  <si>
    <t xml:space="preserve">אחוז שירותים חלקיים </t>
  </si>
  <si>
    <t>יש להכניס נתונים בגיליון 'חתך המנהרה'</t>
  </si>
  <si>
    <t>נתוני המנהרה והשירותים הנדרשים</t>
  </si>
  <si>
    <r>
      <rPr>
        <sz val="11"/>
        <color theme="1"/>
        <rFont val="Tahoma"/>
        <family val="2"/>
      </rPr>
      <t>שכר מבוקש עבור</t>
    </r>
    <r>
      <rPr>
        <b/>
        <sz val="11"/>
        <color theme="1"/>
        <rFont val="Tahoma"/>
        <family val="2"/>
      </rPr>
      <t xml:space="preserve"> תכנון מנהרת תשתית מוקדם</t>
    </r>
  </si>
  <si>
    <t>#1</t>
  </si>
  <si>
    <t>#2</t>
  </si>
  <si>
    <t>#3</t>
  </si>
  <si>
    <t>#4</t>
  </si>
  <si>
    <t>#5</t>
  </si>
  <si>
    <t>#6</t>
  </si>
  <si>
    <t>#7</t>
  </si>
  <si>
    <t>#8</t>
  </si>
  <si>
    <t>מחיר בסיס עבור תכנון מנהרת תשתית מוקדם</t>
  </si>
  <si>
    <r>
      <t>C</t>
    </r>
    <r>
      <rPr>
        <sz val="9"/>
        <color theme="1"/>
        <rFont val="Tahoma"/>
        <family val="2"/>
      </rPr>
      <t xml:space="preserve"> </t>
    </r>
    <r>
      <rPr>
        <sz val="10"/>
        <color theme="1"/>
        <rFont val="Tahoma"/>
        <family val="2"/>
      </rPr>
      <t>L</t>
    </r>
  </si>
  <si>
    <t>מקדם הפחתה ע"פ אורך המנהרה</t>
  </si>
  <si>
    <t>פירוט חישוב שכר טרחה</t>
  </si>
  <si>
    <r>
      <rPr>
        <sz val="11"/>
        <color theme="1"/>
        <rFont val="Tahoma"/>
        <family val="2"/>
      </rPr>
      <t>שכר מבוקש עבור</t>
    </r>
    <r>
      <rPr>
        <b/>
        <sz val="11"/>
        <color theme="1"/>
        <rFont val="Tahoma"/>
        <family val="2"/>
      </rPr>
      <t xml:space="preserve"> תכנון תוואי – סופי, ללא סטטוטוריקה:</t>
    </r>
  </si>
  <si>
    <t>אחוז שירותים חלקיים [%]</t>
  </si>
  <si>
    <r>
      <rPr>
        <sz val="11"/>
        <color theme="1"/>
        <rFont val="Tahoma"/>
        <family val="2"/>
      </rPr>
      <t>שכר מבוקש עבור</t>
    </r>
    <r>
      <rPr>
        <b/>
        <sz val="11"/>
        <color theme="1"/>
        <rFont val="Tahoma"/>
        <family val="2"/>
      </rPr>
      <t xml:space="preserve"> תכנון סופי + תכנון סטטוטורי בועדה:</t>
    </r>
  </si>
  <si>
    <r>
      <rPr>
        <sz val="11"/>
        <color theme="1"/>
        <rFont val="Tahoma"/>
        <family val="2"/>
      </rPr>
      <t>שכר מבוקש עבור</t>
    </r>
    <r>
      <rPr>
        <b/>
        <sz val="11"/>
        <color theme="1"/>
        <rFont val="Tahoma"/>
        <family val="2"/>
      </rPr>
      <t xml:space="preserve"> תכנון סופי + תכנון סטטוטורי בות"ל/מ"א:</t>
    </r>
  </si>
  <si>
    <r>
      <rPr>
        <sz val="11"/>
        <color theme="1"/>
        <rFont val="Tahoma"/>
        <family val="2"/>
      </rPr>
      <t>שכר מבוקש עבור</t>
    </r>
    <r>
      <rPr>
        <b/>
        <sz val="11"/>
        <color theme="1"/>
        <rFont val="Tahoma"/>
        <family val="2"/>
      </rPr>
      <t xml:space="preserve"> תכנון תוואי - מפורט:</t>
    </r>
  </si>
  <si>
    <r>
      <rPr>
        <sz val="11"/>
        <color theme="1"/>
        <rFont val="Tahoma"/>
        <family val="2"/>
      </rPr>
      <t>שכר מבוקש עבור</t>
    </r>
    <r>
      <rPr>
        <b/>
        <sz val="11"/>
        <color theme="1"/>
        <rFont val="Tahoma"/>
        <family val="2"/>
      </rPr>
      <t xml:space="preserve"> תכנון מפורט בפרויקטי תכנון - בצוע / PPP:</t>
    </r>
  </si>
  <si>
    <r>
      <rPr>
        <sz val="11"/>
        <color theme="1"/>
        <rFont val="Tahoma"/>
        <family val="2"/>
      </rPr>
      <t>שכר מבוקש עבור</t>
    </r>
    <r>
      <rPr>
        <b/>
        <sz val="11"/>
        <color theme="1"/>
        <rFont val="Tahoma"/>
        <family val="2"/>
      </rPr>
      <t xml:space="preserve"> בקרת תכנון בפרויקטי תכנון - בצוע / PPP:</t>
    </r>
  </si>
  <si>
    <t>נתוני חתך המנהרה</t>
  </si>
  <si>
    <t>10% מוקדם, 20% סופי, 20% מפורט, 20% פ. על</t>
  </si>
  <si>
    <t>שכר טרחה מחושב</t>
  </si>
  <si>
    <t>תכנון מוקדם</t>
  </si>
  <si>
    <t>תכנון סופי</t>
  </si>
  <si>
    <t>תכנון מפורט</t>
  </si>
  <si>
    <t>ע"פ שלבים נדרשים בלבד.</t>
  </si>
  <si>
    <r>
      <rPr>
        <i/>
        <u/>
        <sz val="9"/>
        <color theme="1"/>
        <rFont val="Tahoma"/>
        <family val="2"/>
      </rPr>
      <t>הערה:</t>
    </r>
    <r>
      <rPr>
        <i/>
        <sz val="9"/>
        <color theme="1"/>
        <rFont val="Tahoma"/>
        <family val="2"/>
      </rPr>
      <t xml:space="preserve"> המקדם מחושב על פי נוסחה</t>
    </r>
  </si>
  <si>
    <r>
      <rPr>
        <i/>
        <u/>
        <sz val="9"/>
        <color theme="1"/>
        <rFont val="Tahoma"/>
        <family val="2"/>
      </rPr>
      <t>הערה:</t>
    </r>
    <r>
      <rPr>
        <i/>
        <sz val="9"/>
        <color theme="1"/>
        <rFont val="Tahoma"/>
        <family val="2"/>
      </rPr>
      <t xml:space="preserve"> הנתונים מחושבים בגיליון 'חתך המנהרה'</t>
    </r>
  </si>
  <si>
    <r>
      <rPr>
        <i/>
        <u/>
        <sz val="9"/>
        <color theme="1"/>
        <rFont val="Tahoma"/>
        <family val="2"/>
      </rPr>
      <t>הערה:</t>
    </r>
    <r>
      <rPr>
        <i/>
        <sz val="9"/>
        <color theme="1"/>
        <rFont val="Tahoma"/>
        <family val="2"/>
      </rPr>
      <t xml:space="preserve"> עבור תכנון סופי, יש למלא: שלב #2</t>
    </r>
    <r>
      <rPr>
        <b/>
        <i/>
        <sz val="9"/>
        <color theme="1"/>
        <rFont val="Tahoma"/>
        <family val="2"/>
      </rPr>
      <t xml:space="preserve"> או</t>
    </r>
    <r>
      <rPr>
        <i/>
        <sz val="9"/>
        <color theme="1"/>
        <rFont val="Tahoma"/>
        <family val="2"/>
      </rPr>
      <t xml:space="preserve"> שלב #3 </t>
    </r>
    <r>
      <rPr>
        <b/>
        <i/>
        <sz val="9"/>
        <color theme="1"/>
        <rFont val="Tahoma"/>
        <family val="2"/>
      </rPr>
      <t>או</t>
    </r>
    <r>
      <rPr>
        <i/>
        <sz val="9"/>
        <color theme="1"/>
        <rFont val="Tahoma"/>
        <family val="2"/>
      </rPr>
      <t xml:space="preserve"> שלב #4</t>
    </r>
  </si>
  <si>
    <r>
      <rPr>
        <i/>
        <u/>
        <sz val="9"/>
        <color theme="1"/>
        <rFont val="Tahoma"/>
        <family val="2"/>
      </rPr>
      <t>הערה:</t>
    </r>
    <r>
      <rPr>
        <i/>
        <sz val="9"/>
        <color theme="1"/>
        <rFont val="Tahoma"/>
        <family val="2"/>
      </rPr>
      <t xml:space="preserve"> עבור תכנון מפורט, יש למלא: שלב #5 </t>
    </r>
    <r>
      <rPr>
        <b/>
        <i/>
        <sz val="9"/>
        <color theme="1"/>
        <rFont val="Tahoma"/>
        <family val="2"/>
      </rPr>
      <t>או</t>
    </r>
    <r>
      <rPr>
        <i/>
        <sz val="9"/>
        <color theme="1"/>
        <rFont val="Tahoma"/>
        <family val="2"/>
      </rPr>
      <t xml:space="preserve"> שלב #6</t>
    </r>
  </si>
  <si>
    <r>
      <rPr>
        <i/>
        <u/>
        <sz val="9"/>
        <color theme="1"/>
        <rFont val="Tahoma"/>
        <family val="2"/>
      </rPr>
      <t>הערה:</t>
    </r>
    <r>
      <rPr>
        <i/>
        <sz val="9"/>
        <color theme="1"/>
        <rFont val="Tahoma"/>
        <family val="2"/>
      </rPr>
      <t xml:space="preserve"> יש לסמן את השלבים הרלוונטיים</t>
    </r>
  </si>
  <si>
    <t>קלט לא תקין</t>
  </si>
  <si>
    <t>מחושב ע"פ אחוזים מתוך שכר טרחה של שלבי התכנון השונים.</t>
  </si>
  <si>
    <t>מים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</si>
</sst>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₪&quot;\ #,##0"/>
    <numFmt numFmtId="165" formatCode="&quot;₪&quot;\ #,##0.00"/>
    <numFmt numFmtId="166" formatCode="#,##0.0"/>
    <numFmt numFmtId="167" formatCode="0.0"/>
    <numFmt numFmtId="168" formatCode="\ &quot;₪&quot;\ #,##0\ \-\ \ס\ך\ \ה\כ\ל\ \ש\כ\ר\ \ט\ר\ח\ה"/>
  </numFmts>
  <fonts count="24" x14ac:knownFonts="1">
    <font>
      <sz val="11"/>
      <color theme="1"/>
      <name val="Tahoma"/>
      <family val="2"/>
      <charset val="177"/>
    </font>
    <font>
      <b/>
      <sz val="11"/>
      <color rgb="FF3F3F3F"/>
      <name val="Tahoma"/>
      <family val="2"/>
      <charset val="177"/>
    </font>
    <font>
      <b/>
      <sz val="11"/>
      <color theme="1"/>
      <name val="Tahoma"/>
      <family val="2"/>
      <charset val="177"/>
    </font>
    <font>
      <b/>
      <sz val="11"/>
      <color theme="1"/>
      <name val="Tahoma"/>
      <family val="2"/>
    </font>
    <font>
      <b/>
      <sz val="11"/>
      <name val="Tahoma"/>
      <family val="2"/>
      <charset val="177"/>
    </font>
    <font>
      <b/>
      <u/>
      <sz val="11"/>
      <color theme="1"/>
      <name val="Tahoma"/>
      <family val="2"/>
    </font>
    <font>
      <sz val="11"/>
      <color theme="2" tint="-0.499984740745262"/>
      <name val="Tahoma"/>
      <family val="2"/>
      <charset val="177"/>
    </font>
    <font>
      <sz val="11"/>
      <color theme="1"/>
      <name val="Tahoma"/>
      <family val="2"/>
    </font>
    <font>
      <sz val="11"/>
      <name val="Tahoma"/>
      <family val="2"/>
    </font>
    <font>
      <sz val="9"/>
      <color theme="1"/>
      <name val="Tahoma"/>
      <family val="2"/>
      <charset val="177"/>
    </font>
    <font>
      <sz val="11"/>
      <color theme="1"/>
      <name val="Tahoma"/>
      <family val="2"/>
      <charset val="177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Tahoma"/>
      <family val="2"/>
    </font>
    <font>
      <b/>
      <u/>
      <sz val="14"/>
      <color theme="1"/>
      <name val="Tahoma"/>
      <family val="2"/>
    </font>
    <font>
      <sz val="8"/>
      <name val="Tahoma"/>
      <family val="2"/>
      <charset val="177"/>
    </font>
    <font>
      <sz val="11"/>
      <color rgb="FFFFFF00"/>
      <name val="Tahoma"/>
      <family val="2"/>
    </font>
    <font>
      <b/>
      <sz val="12"/>
      <name val="Tahoma"/>
      <family val="2"/>
      <charset val="177"/>
    </font>
    <font>
      <sz val="8"/>
      <color rgb="FF000000"/>
      <name val="Tahoma"/>
      <family val="2"/>
    </font>
    <font>
      <sz val="11"/>
      <color rgb="FFFF0000"/>
      <name val="Arial"/>
      <family val="2"/>
      <charset val="177"/>
      <scheme val="minor"/>
    </font>
    <font>
      <i/>
      <u/>
      <sz val="9"/>
      <color theme="1"/>
      <name val="Tahoma"/>
      <family val="2"/>
    </font>
    <font>
      <i/>
      <sz val="9"/>
      <color theme="1"/>
      <name val="Tahoma"/>
      <family val="2"/>
    </font>
    <font>
      <b/>
      <i/>
      <sz val="9"/>
      <color theme="1"/>
      <name val="Tahoma"/>
      <family val="2"/>
    </font>
    <font>
      <sz val="11"/>
      <color rgb="FFFF0000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B2B2B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6">
    <xf numFmtId="0" fontId="0" fillId="0" borderId="0"/>
    <xf numFmtId="0" fontId="2" fillId="3" borderId="1" applyNumberFormat="0" applyAlignment="0" applyProtection="0"/>
    <xf numFmtId="0" fontId="1" fillId="5" borderId="2" applyNumberFormat="0" applyAlignment="0" applyProtection="0"/>
    <xf numFmtId="164" fontId="4" fillId="2" borderId="1" applyAlignment="0" applyProtection="0"/>
    <xf numFmtId="0" fontId="10" fillId="14" borderId="34" applyNumberFormat="0" applyFont="0" applyAlignment="0" applyProtection="0"/>
    <xf numFmtId="0" fontId="19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3" xfId="0" applyBorder="1"/>
    <xf numFmtId="164" fontId="0" fillId="0" borderId="3" xfId="0" applyNumberFormat="1" applyBorder="1"/>
    <xf numFmtId="0" fontId="0" fillId="4" borderId="0" xfId="0" applyFill="1"/>
    <xf numFmtId="0" fontId="0" fillId="4" borderId="3" xfId="0" applyFill="1" applyBorder="1"/>
    <xf numFmtId="0" fontId="6" fillId="4" borderId="3" xfId="0" applyFont="1" applyFill="1" applyBorder="1"/>
    <xf numFmtId="0" fontId="8" fillId="4" borderId="3" xfId="0" applyFont="1" applyFill="1" applyBorder="1"/>
    <xf numFmtId="0" fontId="0" fillId="4" borderId="11" xfId="0" applyFill="1" applyBorder="1"/>
    <xf numFmtId="0" fontId="7" fillId="7" borderId="3" xfId="0" applyFont="1" applyFill="1" applyBorder="1"/>
    <xf numFmtId="0" fontId="3" fillId="0" borderId="3" xfId="0" applyFont="1" applyBorder="1" applyAlignment="1">
      <alignment horizontal="center" vertical="center"/>
    </xf>
    <xf numFmtId="0" fontId="7" fillId="4" borderId="6" xfId="0" applyFont="1" applyFill="1" applyBorder="1"/>
    <xf numFmtId="0" fontId="7" fillId="4" borderId="8" xfId="0" applyFont="1" applyFill="1" applyBorder="1"/>
    <xf numFmtId="164" fontId="1" fillId="5" borderId="2" xfId="2" applyNumberFormat="1"/>
    <xf numFmtId="0" fontId="7" fillId="12" borderId="3" xfId="0" applyFont="1" applyFill="1" applyBorder="1"/>
    <xf numFmtId="0" fontId="5" fillId="4" borderId="0" xfId="0" applyFont="1" applyFill="1" applyAlignment="1">
      <alignment vertical="center"/>
    </xf>
    <xf numFmtId="0" fontId="1" fillId="4" borderId="0" xfId="2" applyNumberFormat="1" applyFill="1" applyBorder="1"/>
    <xf numFmtId="165" fontId="0" fillId="4" borderId="0" xfId="0" applyNumberFormat="1" applyFill="1"/>
    <xf numFmtId="0" fontId="1" fillId="5" borderId="7" xfId="2" applyBorder="1" applyAlignment="1">
      <alignment horizontal="center"/>
    </xf>
    <xf numFmtId="0" fontId="0" fillId="0" borderId="21" xfId="0" applyBorder="1"/>
    <xf numFmtId="0" fontId="1" fillId="5" borderId="22" xfId="2" applyBorder="1" applyAlignment="1">
      <alignment horizontal="center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4" borderId="21" xfId="0" applyFill="1" applyBorder="1"/>
    <xf numFmtId="0" fontId="8" fillId="4" borderId="30" xfId="0" applyFont="1" applyFill="1" applyBorder="1"/>
    <xf numFmtId="0" fontId="1" fillId="5" borderId="31" xfId="2" applyBorder="1" applyAlignment="1">
      <alignment horizontal="center"/>
    </xf>
    <xf numFmtId="0" fontId="1" fillId="5" borderId="18" xfId="2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1" fillId="5" borderId="19" xfId="2" applyBorder="1" applyAlignment="1">
      <alignment horizontal="center"/>
    </xf>
    <xf numFmtId="0" fontId="0" fillId="4" borderId="30" xfId="0" applyFill="1" applyBorder="1"/>
    <xf numFmtId="0" fontId="3" fillId="4" borderId="0" xfId="0" applyFont="1" applyFill="1"/>
    <xf numFmtId="0" fontId="0" fillId="0" borderId="0" xfId="0" applyAlignment="1">
      <alignment horizontal="right"/>
    </xf>
    <xf numFmtId="0" fontId="3" fillId="15" borderId="4" xfId="0" applyFont="1" applyFill="1" applyBorder="1"/>
    <xf numFmtId="0" fontId="3" fillId="15" borderId="10" xfId="0" applyFont="1" applyFill="1" applyBorder="1"/>
    <xf numFmtId="0" fontId="0" fillId="15" borderId="5" xfId="0" applyFill="1" applyBorder="1"/>
    <xf numFmtId="0" fontId="0" fillId="15" borderId="6" xfId="0" applyFill="1" applyBorder="1"/>
    <xf numFmtId="0" fontId="0" fillId="15" borderId="3" xfId="0" applyFill="1" applyBorder="1"/>
    <xf numFmtId="0" fontId="0" fillId="15" borderId="7" xfId="0" applyFill="1" applyBorder="1"/>
    <xf numFmtId="0" fontId="0" fillId="15" borderId="8" xfId="0" applyFill="1" applyBorder="1"/>
    <xf numFmtId="0" fontId="0" fillId="15" borderId="11" xfId="0" applyFill="1" applyBorder="1"/>
    <xf numFmtId="0" fontId="0" fillId="15" borderId="9" xfId="0" applyFill="1" applyBorder="1"/>
    <xf numFmtId="0" fontId="0" fillId="15" borderId="15" xfId="0" applyFill="1" applyBorder="1"/>
    <xf numFmtId="0" fontId="0" fillId="15" borderId="16" xfId="0" applyFill="1" applyBorder="1"/>
    <xf numFmtId="0" fontId="0" fillId="4" borderId="0" xfId="4" applyFont="1" applyFill="1" applyBorder="1" applyAlignment="1">
      <alignment vertical="center" wrapText="1"/>
    </xf>
    <xf numFmtId="0" fontId="0" fillId="14" borderId="34" xfId="4" applyFont="1" applyAlignment="1">
      <alignment horizontal="center"/>
    </xf>
    <xf numFmtId="0" fontId="2" fillId="4" borderId="35" xfId="1" applyFill="1" applyBorder="1" applyAlignment="1">
      <alignment horizontal="right"/>
    </xf>
    <xf numFmtId="0" fontId="3" fillId="4" borderId="35" xfId="0" applyFont="1" applyFill="1" applyBorder="1"/>
    <xf numFmtId="0" fontId="0" fillId="13" borderId="0" xfId="0" applyFill="1"/>
    <xf numFmtId="0" fontId="0" fillId="14" borderId="41" xfId="4" applyFont="1" applyBorder="1" applyAlignment="1">
      <alignment horizontal="center"/>
    </xf>
    <xf numFmtId="0" fontId="0" fillId="14" borderId="42" xfId="4" applyFont="1" applyBorder="1" applyAlignment="1">
      <alignment horizontal="center"/>
    </xf>
    <xf numFmtId="0" fontId="0" fillId="14" borderId="43" xfId="4" applyFont="1" applyBorder="1" applyAlignment="1">
      <alignment horizontal="center"/>
    </xf>
    <xf numFmtId="0" fontId="0" fillId="14" borderId="44" xfId="4" applyFont="1" applyBorder="1" applyAlignment="1">
      <alignment horizontal="center"/>
    </xf>
    <xf numFmtId="0" fontId="0" fillId="14" borderId="45" xfId="4" applyFont="1" applyBorder="1" applyAlignment="1">
      <alignment horizontal="center"/>
    </xf>
    <xf numFmtId="0" fontId="0" fillId="14" borderId="46" xfId="4" applyFont="1" applyBorder="1" applyAlignment="1">
      <alignment horizontal="center"/>
    </xf>
    <xf numFmtId="0" fontId="0" fillId="14" borderId="47" xfId="4" applyFont="1" applyBorder="1" applyAlignment="1">
      <alignment horizontal="center"/>
    </xf>
    <xf numFmtId="0" fontId="0" fillId="14" borderId="48" xfId="4" applyFont="1" applyBorder="1" applyAlignment="1">
      <alignment horizontal="center"/>
    </xf>
    <xf numFmtId="0" fontId="3" fillId="14" borderId="4" xfId="4" applyFont="1" applyBorder="1" applyAlignment="1">
      <alignment horizontal="center"/>
    </xf>
    <xf numFmtId="0" fontId="0" fillId="14" borderId="6" xfId="4" applyFont="1" applyBorder="1" applyAlignment="1">
      <alignment horizontal="center"/>
    </xf>
    <xf numFmtId="0" fontId="0" fillId="14" borderId="8" xfId="4" applyFont="1" applyBorder="1" applyAlignment="1">
      <alignment horizontal="center"/>
    </xf>
    <xf numFmtId="164" fontId="4" fillId="2" borderId="50" xfId="3" applyBorder="1" applyAlignment="1">
      <alignment horizontal="center"/>
    </xf>
    <xf numFmtId="0" fontId="2" fillId="3" borderId="53" xfId="1" applyBorder="1" applyAlignment="1">
      <alignment horizontal="center"/>
    </xf>
    <xf numFmtId="9" fontId="2" fillId="3" borderId="1" xfId="1" applyNumberFormat="1" applyAlignment="1">
      <alignment horizontal="center"/>
    </xf>
    <xf numFmtId="9" fontId="2" fillId="3" borderId="54" xfId="1" applyNumberFormat="1" applyBorder="1" applyAlignment="1">
      <alignment horizontal="center"/>
    </xf>
    <xf numFmtId="166" fontId="4" fillId="2" borderId="51" xfId="3" applyNumberFormat="1" applyBorder="1" applyAlignment="1">
      <alignment horizontal="center"/>
    </xf>
    <xf numFmtId="166" fontId="4" fillId="2" borderId="52" xfId="3" applyNumberFormat="1" applyBorder="1" applyAlignment="1">
      <alignment horizontal="center"/>
    </xf>
    <xf numFmtId="0" fontId="7" fillId="4" borderId="8" xfId="0" applyFont="1" applyFill="1" applyBorder="1" applyAlignment="1">
      <alignment horizontal="right" readingOrder="2"/>
    </xf>
    <xf numFmtId="0" fontId="8" fillId="4" borderId="6" xfId="0" applyFont="1" applyFill="1" applyBorder="1" applyAlignment="1">
      <alignment horizontal="right" readingOrder="2"/>
    </xf>
    <xf numFmtId="0" fontId="3" fillId="0" borderId="3" xfId="0" applyFont="1" applyBorder="1" applyAlignment="1">
      <alignment horizontal="center" vertical="center" wrapText="1" readingOrder="2"/>
    </xf>
    <xf numFmtId="0" fontId="7" fillId="4" borderId="4" xfId="0" applyFont="1" applyFill="1" applyBorder="1"/>
    <xf numFmtId="0" fontId="7" fillId="4" borderId="4" xfId="0" applyFont="1" applyFill="1" applyBorder="1" applyAlignment="1">
      <alignment horizontal="right" readingOrder="2"/>
    </xf>
    <xf numFmtId="0" fontId="0" fillId="0" borderId="3" xfId="0" applyBorder="1" applyAlignment="1">
      <alignment horizontal="right" readingOrder="2"/>
    </xf>
    <xf numFmtId="0" fontId="7" fillId="4" borderId="59" xfId="0" applyFont="1" applyFill="1" applyBorder="1" applyAlignment="1">
      <alignment horizontal="right" readingOrder="2"/>
    </xf>
    <xf numFmtId="0" fontId="0" fillId="4" borderId="35" xfId="0" applyFill="1" applyBorder="1" applyAlignment="1">
      <alignment horizontal="center" vertical="center" wrapText="1"/>
    </xf>
    <xf numFmtId="0" fontId="0" fillId="16" borderId="0" xfId="0" applyFill="1"/>
    <xf numFmtId="0" fontId="5" fillId="16" borderId="0" xfId="0" applyFont="1" applyFill="1" applyAlignment="1">
      <alignment vertical="center"/>
    </xf>
    <xf numFmtId="0" fontId="2" fillId="17" borderId="5" xfId="1" applyFill="1" applyBorder="1" applyAlignment="1">
      <alignment horizontal="right"/>
    </xf>
    <xf numFmtId="0" fontId="2" fillId="17" borderId="1" xfId="1" applyFill="1"/>
    <xf numFmtId="0" fontId="1" fillId="18" borderId="9" xfId="2" applyNumberFormat="1" applyFill="1" applyBorder="1"/>
    <xf numFmtId="0" fontId="1" fillId="18" borderId="7" xfId="2" applyNumberFormat="1" applyFill="1" applyBorder="1" applyAlignment="1">
      <alignment horizontal="right"/>
    </xf>
    <xf numFmtId="167" fontId="1" fillId="18" borderId="7" xfId="2" applyNumberFormat="1" applyFill="1" applyBorder="1" applyAlignment="1">
      <alignment horizontal="right"/>
    </xf>
    <xf numFmtId="0" fontId="1" fillId="18" borderId="9" xfId="2" applyNumberFormat="1" applyFill="1" applyBorder="1" applyAlignment="1">
      <alignment horizontal="right"/>
    </xf>
    <xf numFmtId="0" fontId="1" fillId="18" borderId="2" xfId="2" applyFill="1"/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1" xfId="0" applyBorder="1"/>
    <xf numFmtId="0" fontId="3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26" xfId="0" applyFill="1" applyBorder="1"/>
    <xf numFmtId="0" fontId="3" fillId="13" borderId="0" xfId="0" applyFont="1" applyFill="1" applyAlignment="1">
      <alignment vertical="center"/>
    </xf>
    <xf numFmtId="0" fontId="0" fillId="0" borderId="3" xfId="0" applyBorder="1" applyAlignment="1">
      <alignment horizontal="center" vertical="center"/>
    </xf>
    <xf numFmtId="9" fontId="1" fillId="18" borderId="9" xfId="2" applyNumberFormat="1" applyFill="1" applyBorder="1" applyAlignment="1">
      <alignment horizontal="center"/>
    </xf>
    <xf numFmtId="164" fontId="0" fillId="0" borderId="3" xfId="0" applyNumberFormat="1" applyBorder="1" applyAlignment="1">
      <alignment horizontal="right"/>
    </xf>
    <xf numFmtId="0" fontId="3" fillId="0" borderId="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7" fillId="7" borderId="6" xfId="0" applyFont="1" applyFill="1" applyBorder="1" applyAlignment="1">
      <alignment horizontal="center"/>
    </xf>
    <xf numFmtId="164" fontId="7" fillId="7" borderId="7" xfId="0" applyNumberFormat="1" applyFont="1" applyFill="1" applyBorder="1" applyAlignment="1">
      <alignment readingOrder="1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readingOrder="1"/>
    </xf>
    <xf numFmtId="0" fontId="7" fillId="12" borderId="6" xfId="0" applyFont="1" applyFill="1" applyBorder="1" applyAlignment="1">
      <alignment horizontal="center"/>
    </xf>
    <xf numFmtId="2" fontId="7" fillId="12" borderId="7" xfId="0" applyNumberFormat="1" applyFont="1" applyFill="1" applyBorder="1" applyAlignment="1">
      <alignment readingOrder="1"/>
    </xf>
    <xf numFmtId="0" fontId="7" fillId="12" borderId="7" xfId="0" applyFont="1" applyFill="1" applyBorder="1" applyAlignment="1">
      <alignment readingOrder="1"/>
    </xf>
    <xf numFmtId="0" fontId="7" fillId="7" borderId="8" xfId="0" applyFont="1" applyFill="1" applyBorder="1" applyAlignment="1">
      <alignment horizontal="center"/>
    </xf>
    <xf numFmtId="0" fontId="7" fillId="7" borderId="11" xfId="0" applyFont="1" applyFill="1" applyBorder="1"/>
    <xf numFmtId="164" fontId="0" fillId="7" borderId="9" xfId="0" applyNumberFormat="1" applyFill="1" applyBorder="1" applyAlignment="1">
      <alignment readingOrder="1"/>
    </xf>
    <xf numFmtId="0" fontId="3" fillId="6" borderId="61" xfId="0" applyFont="1" applyFill="1" applyBorder="1" applyAlignment="1">
      <alignment horizontal="center"/>
    </xf>
    <xf numFmtId="0" fontId="3" fillId="6" borderId="62" xfId="0" applyFont="1" applyFill="1" applyBorder="1"/>
    <xf numFmtId="164" fontId="3" fillId="6" borderId="63" xfId="0" applyNumberFormat="1" applyFont="1" applyFill="1" applyBorder="1" applyAlignment="1">
      <alignment readingOrder="1"/>
    </xf>
    <xf numFmtId="164" fontId="0" fillId="7" borderId="7" xfId="0" applyNumberFormat="1" applyFill="1" applyBorder="1" applyAlignment="1">
      <alignment readingOrder="1"/>
    </xf>
    <xf numFmtId="0" fontId="3" fillId="6" borderId="8" xfId="0" applyFont="1" applyFill="1" applyBorder="1" applyAlignment="1">
      <alignment horizontal="center"/>
    </xf>
    <xf numFmtId="0" fontId="3" fillId="6" borderId="11" xfId="0" applyFont="1" applyFill="1" applyBorder="1"/>
    <xf numFmtId="0" fontId="1" fillId="18" borderId="3" xfId="2" applyNumberFormat="1" applyFill="1" applyBorder="1"/>
    <xf numFmtId="167" fontId="1" fillId="18" borderId="3" xfId="2" applyNumberFormat="1" applyFill="1" applyBorder="1"/>
    <xf numFmtId="0" fontId="1" fillId="18" borderId="7" xfId="2" applyFill="1" applyBorder="1" applyAlignment="1">
      <alignment horizontal="center" vertical="center"/>
    </xf>
    <xf numFmtId="0" fontId="1" fillId="18" borderId="31" xfId="2" applyFill="1" applyBorder="1" applyAlignment="1">
      <alignment horizontal="center" vertical="center"/>
    </xf>
    <xf numFmtId="0" fontId="1" fillId="18" borderId="19" xfId="2" applyFill="1" applyBorder="1" applyAlignment="1">
      <alignment horizontal="center"/>
    </xf>
    <xf numFmtId="0" fontId="1" fillId="18" borderId="22" xfId="2" applyFill="1" applyBorder="1" applyAlignment="1">
      <alignment horizontal="center"/>
    </xf>
    <xf numFmtId="0" fontId="2" fillId="17" borderId="20" xfId="1" applyFill="1" applyBorder="1" applyAlignment="1">
      <alignment horizontal="center"/>
    </xf>
    <xf numFmtId="0" fontId="2" fillId="17" borderId="6" xfId="1" applyFill="1" applyBorder="1" applyAlignment="1">
      <alignment horizontal="center"/>
    </xf>
    <xf numFmtId="0" fontId="2" fillId="17" borderId="29" xfId="1" applyFill="1" applyBorder="1" applyAlignment="1">
      <alignment horizontal="center"/>
    </xf>
    <xf numFmtId="0" fontId="2" fillId="17" borderId="8" xfId="1" applyFill="1" applyBorder="1" applyAlignment="1">
      <alignment horizontal="center"/>
    </xf>
    <xf numFmtId="0" fontId="13" fillId="14" borderId="65" xfId="4" applyFont="1" applyBorder="1"/>
    <xf numFmtId="9" fontId="13" fillId="14" borderId="66" xfId="4" applyNumberFormat="1" applyFont="1" applyBorder="1" applyAlignment="1">
      <alignment horizontal="center"/>
    </xf>
    <xf numFmtId="0" fontId="13" fillId="14" borderId="34" xfId="4" applyFont="1"/>
    <xf numFmtId="9" fontId="13" fillId="14" borderId="68" xfId="4" applyNumberFormat="1" applyFont="1" applyBorder="1" applyAlignment="1">
      <alignment horizontal="center"/>
    </xf>
    <xf numFmtId="0" fontId="13" fillId="14" borderId="70" xfId="4" applyFont="1" applyBorder="1"/>
    <xf numFmtId="9" fontId="13" fillId="14" borderId="71" xfId="4" applyNumberFormat="1" applyFont="1" applyBorder="1" applyAlignment="1">
      <alignment horizontal="center"/>
    </xf>
    <xf numFmtId="0" fontId="2" fillId="17" borderId="5" xfId="1" applyFill="1" applyBorder="1" applyAlignment="1">
      <alignment horizontal="right" vertical="center"/>
    </xf>
    <xf numFmtId="0" fontId="3" fillId="4" borderId="4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9" fontId="7" fillId="4" borderId="0" xfId="1" applyNumberFormat="1" applyFont="1" applyFill="1" applyBorder="1" applyAlignment="1">
      <alignment horizontal="center"/>
    </xf>
    <xf numFmtId="0" fontId="0" fillId="0" borderId="30" xfId="0" applyBorder="1"/>
    <xf numFmtId="0" fontId="0" fillId="0" borderId="29" xfId="0" applyBorder="1" applyAlignment="1">
      <alignment horizontal="center" vertical="center"/>
    </xf>
    <xf numFmtId="0" fontId="0" fillId="0" borderId="72" xfId="0" applyBorder="1"/>
    <xf numFmtId="164" fontId="0" fillId="4" borderId="0" xfId="0" applyNumberFormat="1" applyFill="1"/>
    <xf numFmtId="9" fontId="16" fillId="17" borderId="7" xfId="1" applyNumberFormat="1" applyFont="1" applyFill="1" applyBorder="1" applyAlignment="1">
      <alignment horizontal="center"/>
    </xf>
    <xf numFmtId="0" fontId="0" fillId="0" borderId="7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/>
    <xf numFmtId="9" fontId="16" fillId="17" borderId="9" xfId="1" applyNumberFormat="1" applyFont="1" applyFill="1" applyBorder="1" applyAlignment="1">
      <alignment horizontal="center"/>
    </xf>
    <xf numFmtId="0" fontId="3" fillId="0" borderId="57" xfId="0" applyFont="1" applyBorder="1" applyAlignment="1">
      <alignment horizontal="center" vertical="center"/>
    </xf>
    <xf numFmtId="164" fontId="1" fillId="5" borderId="74" xfId="2" applyNumberFormat="1" applyBorder="1"/>
    <xf numFmtId="164" fontId="1" fillId="5" borderId="74" xfId="2" applyNumberFormat="1" applyBorder="1" applyAlignment="1">
      <alignment vertical="top"/>
    </xf>
    <xf numFmtId="164" fontId="1" fillId="5" borderId="75" xfId="2" applyNumberFormat="1" applyBorder="1" applyAlignment="1">
      <alignment vertical="top"/>
    </xf>
    <xf numFmtId="9" fontId="1" fillId="4" borderId="9" xfId="2" applyNumberFormat="1" applyFill="1" applyBorder="1" applyAlignment="1">
      <alignment horizontal="center"/>
    </xf>
    <xf numFmtId="0" fontId="3" fillId="0" borderId="73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164" fontId="7" fillId="0" borderId="49" xfId="0" applyNumberFormat="1" applyFont="1" applyBorder="1" applyAlignment="1">
      <alignment vertical="center"/>
    </xf>
    <xf numFmtId="0" fontId="3" fillId="4" borderId="0" xfId="0" applyFont="1" applyFill="1" applyAlignment="1">
      <alignment horizontal="right"/>
    </xf>
    <xf numFmtId="168" fontId="17" fillId="5" borderId="58" xfId="2" applyNumberFormat="1" applyFont="1" applyBorder="1"/>
    <xf numFmtId="9" fontId="7" fillId="17" borderId="7" xfId="1" applyNumberFormat="1" applyFont="1" applyFill="1" applyBorder="1" applyAlignment="1">
      <alignment horizontal="right"/>
    </xf>
    <xf numFmtId="0" fontId="21" fillId="14" borderId="34" xfId="4" applyFont="1" applyAlignment="1">
      <alignment vertical="center"/>
    </xf>
    <xf numFmtId="0" fontId="0" fillId="4" borderId="0" xfId="0" applyFill="1" applyAlignment="1">
      <alignment vertical="center"/>
    </xf>
    <xf numFmtId="0" fontId="1" fillId="18" borderId="78" xfId="2" applyFill="1" applyBorder="1"/>
    <xf numFmtId="0" fontId="23" fillId="4" borderId="3" xfId="5" applyFont="1" applyFill="1" applyBorder="1"/>
    <xf numFmtId="164" fontId="0" fillId="14" borderId="34" xfId="4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14" fillId="16" borderId="0" xfId="0" applyFont="1" applyFill="1" applyAlignment="1">
      <alignment horizontal="right" vertical="center"/>
    </xf>
    <xf numFmtId="0" fontId="3" fillId="4" borderId="10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13" borderId="0" xfId="0" applyFont="1" applyFill="1" applyAlignment="1">
      <alignment horizontal="right" vertical="center"/>
    </xf>
    <xf numFmtId="0" fontId="0" fillId="4" borderId="57" xfId="0" applyFill="1" applyBorder="1" applyAlignment="1">
      <alignment horizontal="center" vertical="center" wrapText="1"/>
    </xf>
    <xf numFmtId="0" fontId="0" fillId="4" borderId="58" xfId="0" applyFill="1" applyBorder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3" fillId="16" borderId="0" xfId="0" applyFont="1" applyFill="1" applyAlignment="1">
      <alignment horizontal="right" vertical="center"/>
    </xf>
    <xf numFmtId="0" fontId="21" fillId="14" borderId="34" xfId="4" applyFont="1" applyAlignment="1">
      <alignment horizontal="right" vertical="center" wrapText="1"/>
    </xf>
    <xf numFmtId="0" fontId="21" fillId="14" borderId="76" xfId="4" applyFont="1" applyBorder="1" applyAlignment="1">
      <alignment horizontal="right" vertical="center" wrapText="1"/>
    </xf>
    <xf numFmtId="0" fontId="21" fillId="14" borderId="60" xfId="4" applyFont="1" applyBorder="1" applyAlignment="1">
      <alignment horizontal="right" vertical="center" wrapText="1"/>
    </xf>
    <xf numFmtId="0" fontId="21" fillId="14" borderId="77" xfId="4" applyFont="1" applyBorder="1" applyAlignment="1">
      <alignment horizontal="right" vertical="center" wrapText="1"/>
    </xf>
    <xf numFmtId="0" fontId="3" fillId="8" borderId="36" xfId="0" applyFont="1" applyFill="1" applyBorder="1" applyAlignment="1">
      <alignment horizontal="center" vertical="center"/>
    </xf>
    <xf numFmtId="0" fontId="3" fillId="8" borderId="35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8" borderId="39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0" fontId="3" fillId="9" borderId="35" xfId="0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9" borderId="38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9" borderId="39" xfId="0" applyFont="1" applyFill="1" applyBorder="1" applyAlignment="1">
      <alignment horizontal="center" vertical="center"/>
    </xf>
    <xf numFmtId="0" fontId="3" fillId="10" borderId="36" xfId="0" applyFont="1" applyFill="1" applyBorder="1" applyAlignment="1">
      <alignment horizontal="center" vertical="center"/>
    </xf>
    <xf numFmtId="0" fontId="3" fillId="10" borderId="35" xfId="0" applyFont="1" applyFill="1" applyBorder="1" applyAlignment="1">
      <alignment horizontal="center" vertical="center"/>
    </xf>
    <xf numFmtId="0" fontId="3" fillId="10" borderId="37" xfId="0" applyFont="1" applyFill="1" applyBorder="1" applyAlignment="1">
      <alignment horizontal="center" vertical="center"/>
    </xf>
    <xf numFmtId="0" fontId="3" fillId="10" borderId="38" xfId="0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 vertical="center"/>
    </xf>
    <xf numFmtId="0" fontId="3" fillId="10" borderId="39" xfId="0" applyFont="1" applyFill="1" applyBorder="1" applyAlignment="1">
      <alignment horizontal="center" vertical="center"/>
    </xf>
    <xf numFmtId="0" fontId="3" fillId="4" borderId="3" xfId="0" applyFont="1" applyFill="1" applyBorder="1"/>
    <xf numFmtId="0" fontId="13" fillId="14" borderId="64" xfId="4" applyFont="1" applyBorder="1" applyAlignment="1">
      <alignment horizontal="center" vertical="center" wrapText="1"/>
    </xf>
    <xf numFmtId="0" fontId="13" fillId="14" borderId="67" xfId="4" applyFont="1" applyBorder="1" applyAlignment="1">
      <alignment horizontal="center" vertical="center" wrapText="1"/>
    </xf>
    <xf numFmtId="0" fontId="13" fillId="14" borderId="69" xfId="4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 readingOrder="2"/>
    </xf>
    <xf numFmtId="0" fontId="9" fillId="11" borderId="33" xfId="0" applyFont="1" applyFill="1" applyBorder="1" applyAlignment="1">
      <alignment horizontal="center" readingOrder="2"/>
    </xf>
    <xf numFmtId="0" fontId="9" fillId="11" borderId="27" xfId="0" applyFont="1" applyFill="1" applyBorder="1" applyAlignment="1">
      <alignment horizontal="center" readingOrder="2"/>
    </xf>
    <xf numFmtId="0" fontId="9" fillId="11" borderId="28" xfId="0" applyFont="1" applyFill="1" applyBorder="1" applyAlignment="1">
      <alignment horizontal="center" readingOrder="2"/>
    </xf>
    <xf numFmtId="0" fontId="9" fillId="13" borderId="33" xfId="0" applyFont="1" applyFill="1" applyBorder="1" applyAlignment="1">
      <alignment horizontal="center" readingOrder="2"/>
    </xf>
    <xf numFmtId="0" fontId="9" fillId="13" borderId="27" xfId="0" applyFont="1" applyFill="1" applyBorder="1" applyAlignment="1">
      <alignment horizontal="center" readingOrder="2"/>
    </xf>
    <xf numFmtId="0" fontId="9" fillId="13" borderId="28" xfId="0" applyFont="1" applyFill="1" applyBorder="1" applyAlignment="1">
      <alignment horizontal="center" readingOrder="2"/>
    </xf>
    <xf numFmtId="0" fontId="3" fillId="11" borderId="12" xfId="0" applyFont="1" applyFill="1" applyBorder="1" applyAlignment="1">
      <alignment horizontal="center"/>
    </xf>
    <xf numFmtId="0" fontId="3" fillId="11" borderId="13" xfId="0" applyFont="1" applyFill="1" applyBorder="1" applyAlignment="1">
      <alignment horizontal="center"/>
    </xf>
    <xf numFmtId="0" fontId="3" fillId="11" borderId="14" xfId="0" applyFont="1" applyFill="1" applyBorder="1" applyAlignment="1">
      <alignment horizontal="center"/>
    </xf>
    <xf numFmtId="0" fontId="3" fillId="13" borderId="12" xfId="0" applyFont="1" applyFill="1" applyBorder="1" applyAlignment="1">
      <alignment horizontal="center"/>
    </xf>
    <xf numFmtId="0" fontId="3" fillId="13" borderId="13" xfId="0" applyFont="1" applyFill="1" applyBorder="1" applyAlignment="1">
      <alignment horizontal="center"/>
    </xf>
    <xf numFmtId="0" fontId="3" fillId="13" borderId="14" xfId="0" applyFont="1" applyFill="1" applyBorder="1" applyAlignment="1">
      <alignment horizontal="center"/>
    </xf>
    <xf numFmtId="0" fontId="1" fillId="18" borderId="40" xfId="2" applyFill="1" applyBorder="1" applyAlignment="1">
      <alignment horizontal="center" vertical="center"/>
    </xf>
    <xf numFmtId="0" fontId="1" fillId="18" borderId="22" xfId="2" applyFill="1" applyBorder="1" applyAlignment="1">
      <alignment horizontal="center" vertical="center"/>
    </xf>
    <xf numFmtId="0" fontId="1" fillId="18" borderId="49" xfId="2" applyFill="1" applyBorder="1" applyAlignment="1">
      <alignment horizontal="center" vertical="center"/>
    </xf>
    <xf numFmtId="0" fontId="1" fillId="5" borderId="40" xfId="2" applyBorder="1" applyAlignment="1">
      <alignment horizontal="center" vertical="center"/>
    </xf>
    <xf numFmtId="0" fontId="1" fillId="5" borderId="22" xfId="2" applyBorder="1" applyAlignment="1">
      <alignment horizontal="center" vertical="center"/>
    </xf>
    <xf numFmtId="0" fontId="1" fillId="5" borderId="31" xfId="2" applyBorder="1" applyAlignment="1">
      <alignment horizontal="center" vertical="center"/>
    </xf>
  </cellXfs>
  <cellStyles count="6">
    <cellStyle name="Normal" xfId="0" builtinId="0"/>
    <cellStyle name="הערה" xfId="4" builtinId="10"/>
    <cellStyle name="חישוב" xfId="3" builtinId="22" customBuiltin="1"/>
    <cellStyle name="טקסט אזהרה" xfId="5" builtinId="11"/>
    <cellStyle name="פלט" xfId="2" builtinId="21" customBuiltin="1"/>
    <cellStyle name="קלט" xfId="1" builtinId="20" customBuiltin="1"/>
  </cellStyles>
  <dxfs count="10">
    <dxf>
      <font>
        <color rgb="FFFF0000"/>
      </font>
    </dxf>
    <dxf>
      <font>
        <color rgb="FFFF0000"/>
      </font>
    </dxf>
    <dxf>
      <font>
        <b val="0"/>
        <i/>
        <color theme="0" tint="-0.24994659260841701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  <color theme="0" tint="-0.24994659260841701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  <color theme="0" tint="-0.24994659260841701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  <color theme="0" tint="-0.24994659260841701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  <color theme="0" tint="-0.24994659260841701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  <color theme="0" tint="-0.24994659260841701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/>
        <color theme="0" tint="-0.24994659260841701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/>
        <color theme="0" tint="-0.24994659260841701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BFECE"/>
      <color rgb="FFC198E0"/>
      <color rgb="FFCE43FF"/>
      <color rgb="FFFFCCCC"/>
      <color rgb="FFFF9999"/>
      <color rgb="FF99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C$27" lockText="1" noThreeD="1"/>
</file>

<file path=xl/ctrlProps/ctrlProp2.xml><?xml version="1.0" encoding="utf-8"?>
<formControlPr xmlns="http://schemas.microsoft.com/office/spreadsheetml/2009/9/main" objectType="CheckBox" fmlaLink="$C$28" lockText="1" noThreeD="1"/>
</file>

<file path=xl/ctrlProps/ctrlProp3.xml><?xml version="1.0" encoding="utf-8"?>
<formControlPr xmlns="http://schemas.microsoft.com/office/spreadsheetml/2009/9/main" objectType="CheckBox" fmlaLink="$C$29" lockText="1" noThreeD="1"/>
</file>

<file path=xl/ctrlProps/ctrlProp4.xml><?xml version="1.0" encoding="utf-8"?>
<formControlPr xmlns="http://schemas.microsoft.com/office/spreadsheetml/2009/9/main" objectType="CheckBox" fmlaLink="$C$3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3249706</xdr:colOff>
      <xdr:row>3</xdr:row>
      <xdr:rowOff>201705</xdr:rowOff>
    </xdr:from>
    <xdr:to>
      <xdr:col>6</xdr:col>
      <xdr:colOff>75638</xdr:colOff>
      <xdr:row>8</xdr:row>
      <xdr:rowOff>145676</xdr:rowOff>
    </xdr:to>
    <xdr:sp macro="" textlink="">
      <xdr:nvSpPr>
        <xdr:cNvPr id="3" name="מלבן: פינות מעוגלות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198545304" y="1277470"/>
          <a:ext cx="2585755" cy="106455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9525</xdr:rowOff>
        </xdr:from>
        <xdr:to>
          <xdr:col>2</xdr:col>
          <xdr:colOff>762000</xdr:colOff>
          <xdr:row>26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תכנון מוקדם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27</xdr:row>
          <xdr:rowOff>9525</xdr:rowOff>
        </xdr:from>
        <xdr:to>
          <xdr:col>2</xdr:col>
          <xdr:colOff>762000</xdr:colOff>
          <xdr:row>27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תכנון סופי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28</xdr:row>
          <xdr:rowOff>9525</xdr:rowOff>
        </xdr:from>
        <xdr:to>
          <xdr:col>2</xdr:col>
          <xdr:colOff>762000</xdr:colOff>
          <xdr:row>28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תכנון מפורט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29</xdr:row>
          <xdr:rowOff>9525</xdr:rowOff>
        </xdr:from>
        <xdr:to>
          <xdr:col>2</xdr:col>
          <xdr:colOff>762000</xdr:colOff>
          <xdr:row>29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פיקוח עליון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840441</xdr:colOff>
      <xdr:row>52</xdr:row>
      <xdr:rowOff>22412</xdr:rowOff>
    </xdr:from>
    <xdr:to>
      <xdr:col>5</xdr:col>
      <xdr:colOff>3815675</xdr:colOff>
      <xdr:row>77</xdr:row>
      <xdr:rowOff>172189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98660090" y="12203206"/>
          <a:ext cx="8398881" cy="4688159"/>
        </a:xfrm>
        <a:prstGeom prst="rect">
          <a:avLst/>
        </a:prstGeom>
      </xdr:spPr>
    </xdr:pic>
    <xdr:clientData/>
  </xdr:twoCellAnchor>
  <xdr:twoCellAnchor>
    <xdr:from>
      <xdr:col>4</xdr:col>
      <xdr:colOff>336175</xdr:colOff>
      <xdr:row>87</xdr:row>
      <xdr:rowOff>156883</xdr:rowOff>
    </xdr:from>
    <xdr:to>
      <xdr:col>5</xdr:col>
      <xdr:colOff>652764</xdr:colOff>
      <xdr:row>95</xdr:row>
      <xdr:rowOff>153295</xdr:rowOff>
    </xdr:to>
    <xdr:sp macro="" textlink="">
      <xdr:nvSpPr>
        <xdr:cNvPr id="4" name="תיבת טקסט 3">
          <a:extLst>
            <a:ext uri="{FF2B5EF4-FFF2-40B4-BE49-F238E27FC236}">
              <a16:creationId xmlns:a16="http://schemas.microsoft.com/office/drawing/2014/main" id="{6404CEEA-E99E-467C-9196-BF7622812349}"/>
            </a:ext>
          </a:extLst>
        </xdr:cNvPr>
        <xdr:cNvSpPr txBox="1"/>
      </xdr:nvSpPr>
      <xdr:spPr>
        <a:xfrm rot="20631424">
          <a:off x="11197979383" y="18702618"/>
          <a:ext cx="3689559" cy="1430765"/>
        </a:xfrm>
        <a:custGeom>
          <a:avLst/>
          <a:gdLst>
            <a:gd name="connsiteX0" fmla="*/ 0 w 3689559"/>
            <a:gd name="connsiteY0" fmla="*/ 0 h 1430765"/>
            <a:gd name="connsiteX1" fmla="*/ 541135 w 3689559"/>
            <a:gd name="connsiteY1" fmla="*/ 0 h 1430765"/>
            <a:gd name="connsiteX2" fmla="*/ 1045375 w 3689559"/>
            <a:gd name="connsiteY2" fmla="*/ 0 h 1430765"/>
            <a:gd name="connsiteX3" fmla="*/ 1697197 w 3689559"/>
            <a:gd name="connsiteY3" fmla="*/ 0 h 1430765"/>
            <a:gd name="connsiteX4" fmla="*/ 2312124 w 3689559"/>
            <a:gd name="connsiteY4" fmla="*/ 0 h 1430765"/>
            <a:gd name="connsiteX5" fmla="*/ 2890155 w 3689559"/>
            <a:gd name="connsiteY5" fmla="*/ 0 h 1430765"/>
            <a:gd name="connsiteX6" fmla="*/ 3689559 w 3689559"/>
            <a:gd name="connsiteY6" fmla="*/ 0 h 1430765"/>
            <a:gd name="connsiteX7" fmla="*/ 3689559 w 3689559"/>
            <a:gd name="connsiteY7" fmla="*/ 433999 h 1430765"/>
            <a:gd name="connsiteX8" fmla="*/ 3689559 w 3689559"/>
            <a:gd name="connsiteY8" fmla="*/ 896613 h 1430765"/>
            <a:gd name="connsiteX9" fmla="*/ 3689559 w 3689559"/>
            <a:gd name="connsiteY9" fmla="*/ 1430765 h 1430765"/>
            <a:gd name="connsiteX10" fmla="*/ 3000841 w 3689559"/>
            <a:gd name="connsiteY10" fmla="*/ 1430765 h 1430765"/>
            <a:gd name="connsiteX11" fmla="*/ 2385915 w 3689559"/>
            <a:gd name="connsiteY11" fmla="*/ 1430765 h 1430765"/>
            <a:gd name="connsiteX12" fmla="*/ 1770988 w 3689559"/>
            <a:gd name="connsiteY12" fmla="*/ 1430765 h 1430765"/>
            <a:gd name="connsiteX13" fmla="*/ 1082271 w 3689559"/>
            <a:gd name="connsiteY13" fmla="*/ 1430765 h 1430765"/>
            <a:gd name="connsiteX14" fmla="*/ 0 w 3689559"/>
            <a:gd name="connsiteY14" fmla="*/ 1430765 h 1430765"/>
            <a:gd name="connsiteX15" fmla="*/ 0 w 3689559"/>
            <a:gd name="connsiteY15" fmla="*/ 968151 h 1430765"/>
            <a:gd name="connsiteX16" fmla="*/ 0 w 3689559"/>
            <a:gd name="connsiteY16" fmla="*/ 476922 h 1430765"/>
            <a:gd name="connsiteX17" fmla="*/ 0 w 3689559"/>
            <a:gd name="connsiteY17" fmla="*/ 0 h 14307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</a:cxnLst>
          <a:rect l="l" t="t" r="r" b="b"/>
          <a:pathLst>
            <a:path w="3689559" h="1430765" fill="none" extrusionOk="0">
              <a:moveTo>
                <a:pt x="0" y="0"/>
              </a:moveTo>
              <a:cubicBezTo>
                <a:pt x="152888" y="17956"/>
                <a:pt x="321791" y="-5918"/>
                <a:pt x="541135" y="0"/>
              </a:cubicBezTo>
              <a:cubicBezTo>
                <a:pt x="760479" y="5918"/>
                <a:pt x="888574" y="17153"/>
                <a:pt x="1045375" y="0"/>
              </a:cubicBezTo>
              <a:cubicBezTo>
                <a:pt x="1202176" y="-17153"/>
                <a:pt x="1373912" y="-2668"/>
                <a:pt x="1697197" y="0"/>
              </a:cubicBezTo>
              <a:cubicBezTo>
                <a:pt x="2020482" y="2668"/>
                <a:pt x="2006728" y="-14534"/>
                <a:pt x="2312124" y="0"/>
              </a:cubicBezTo>
              <a:cubicBezTo>
                <a:pt x="2617520" y="14534"/>
                <a:pt x="2728935" y="14818"/>
                <a:pt x="2890155" y="0"/>
              </a:cubicBezTo>
              <a:cubicBezTo>
                <a:pt x="3051375" y="-14818"/>
                <a:pt x="3358922" y="-21731"/>
                <a:pt x="3689559" y="0"/>
              </a:cubicBezTo>
              <a:cubicBezTo>
                <a:pt x="3668688" y="101197"/>
                <a:pt x="3699788" y="281997"/>
                <a:pt x="3689559" y="433999"/>
              </a:cubicBezTo>
              <a:cubicBezTo>
                <a:pt x="3679330" y="586001"/>
                <a:pt x="3680021" y="687082"/>
                <a:pt x="3689559" y="896613"/>
              </a:cubicBezTo>
              <a:cubicBezTo>
                <a:pt x="3699097" y="1106144"/>
                <a:pt x="3684037" y="1285416"/>
                <a:pt x="3689559" y="1430765"/>
              </a:cubicBezTo>
              <a:cubicBezTo>
                <a:pt x="3490123" y="1429402"/>
                <a:pt x="3337674" y="1416512"/>
                <a:pt x="3000841" y="1430765"/>
              </a:cubicBezTo>
              <a:cubicBezTo>
                <a:pt x="2664008" y="1445018"/>
                <a:pt x="2615704" y="1414815"/>
                <a:pt x="2385915" y="1430765"/>
              </a:cubicBezTo>
              <a:cubicBezTo>
                <a:pt x="2156126" y="1446715"/>
                <a:pt x="1921593" y="1425424"/>
                <a:pt x="1770988" y="1430765"/>
              </a:cubicBezTo>
              <a:cubicBezTo>
                <a:pt x="1620383" y="1436106"/>
                <a:pt x="1282775" y="1419496"/>
                <a:pt x="1082271" y="1430765"/>
              </a:cubicBezTo>
              <a:cubicBezTo>
                <a:pt x="881767" y="1442034"/>
                <a:pt x="296744" y="1416052"/>
                <a:pt x="0" y="1430765"/>
              </a:cubicBezTo>
              <a:cubicBezTo>
                <a:pt x="-14449" y="1292388"/>
                <a:pt x="-1129" y="1161207"/>
                <a:pt x="0" y="968151"/>
              </a:cubicBezTo>
              <a:cubicBezTo>
                <a:pt x="1129" y="775095"/>
                <a:pt x="-650" y="686972"/>
                <a:pt x="0" y="476922"/>
              </a:cubicBezTo>
              <a:cubicBezTo>
                <a:pt x="650" y="266872"/>
                <a:pt x="-2985" y="97791"/>
                <a:pt x="0" y="0"/>
              </a:cubicBezTo>
              <a:close/>
            </a:path>
            <a:path w="3689559" h="1430765" stroke="0" extrusionOk="0">
              <a:moveTo>
                <a:pt x="0" y="0"/>
              </a:moveTo>
              <a:cubicBezTo>
                <a:pt x="216836" y="-25483"/>
                <a:pt x="409821" y="-480"/>
                <a:pt x="688718" y="0"/>
              </a:cubicBezTo>
              <a:cubicBezTo>
                <a:pt x="967615" y="480"/>
                <a:pt x="953311" y="-16674"/>
                <a:pt x="1192957" y="0"/>
              </a:cubicBezTo>
              <a:cubicBezTo>
                <a:pt x="1432603" y="16674"/>
                <a:pt x="1480349" y="-18145"/>
                <a:pt x="1734093" y="0"/>
              </a:cubicBezTo>
              <a:cubicBezTo>
                <a:pt x="1987837" y="18145"/>
                <a:pt x="2144774" y="-11955"/>
                <a:pt x="2312124" y="0"/>
              </a:cubicBezTo>
              <a:cubicBezTo>
                <a:pt x="2479474" y="11955"/>
                <a:pt x="2674997" y="-6091"/>
                <a:pt x="2816363" y="0"/>
              </a:cubicBezTo>
              <a:cubicBezTo>
                <a:pt x="2957729" y="6091"/>
                <a:pt x="3358813" y="30268"/>
                <a:pt x="3689559" y="0"/>
              </a:cubicBezTo>
              <a:cubicBezTo>
                <a:pt x="3696633" y="163245"/>
                <a:pt x="3706902" y="316160"/>
                <a:pt x="3689559" y="448306"/>
              </a:cubicBezTo>
              <a:cubicBezTo>
                <a:pt x="3672216" y="580452"/>
                <a:pt x="3688261" y="809183"/>
                <a:pt x="3689559" y="939536"/>
              </a:cubicBezTo>
              <a:cubicBezTo>
                <a:pt x="3690858" y="1069889"/>
                <a:pt x="3690479" y="1317329"/>
                <a:pt x="3689559" y="1430765"/>
              </a:cubicBezTo>
              <a:cubicBezTo>
                <a:pt x="3551800" y="1442709"/>
                <a:pt x="3356366" y="1425836"/>
                <a:pt x="3185319" y="1430765"/>
              </a:cubicBezTo>
              <a:cubicBezTo>
                <a:pt x="3014272" y="1435694"/>
                <a:pt x="2753309" y="1444416"/>
                <a:pt x="2496602" y="1430765"/>
              </a:cubicBezTo>
              <a:cubicBezTo>
                <a:pt x="2239895" y="1417114"/>
                <a:pt x="2066774" y="1403908"/>
                <a:pt x="1918571" y="1430765"/>
              </a:cubicBezTo>
              <a:cubicBezTo>
                <a:pt x="1770368" y="1457622"/>
                <a:pt x="1524746" y="1408387"/>
                <a:pt x="1414331" y="1430765"/>
              </a:cubicBezTo>
              <a:cubicBezTo>
                <a:pt x="1303916" y="1453143"/>
                <a:pt x="1027891" y="1444886"/>
                <a:pt x="836300" y="1430765"/>
              </a:cubicBezTo>
              <a:cubicBezTo>
                <a:pt x="644709" y="1416644"/>
                <a:pt x="212905" y="1409622"/>
                <a:pt x="0" y="1430765"/>
              </a:cubicBezTo>
              <a:cubicBezTo>
                <a:pt x="-3747" y="1338038"/>
                <a:pt x="17308" y="1091260"/>
                <a:pt x="0" y="982459"/>
              </a:cubicBezTo>
              <a:cubicBezTo>
                <a:pt x="-17308" y="873658"/>
                <a:pt x="23651" y="588751"/>
                <a:pt x="0" y="476922"/>
              </a:cubicBezTo>
              <a:cubicBezTo>
                <a:pt x="-23651" y="365093"/>
                <a:pt x="14404" y="232397"/>
                <a:pt x="0" y="0"/>
              </a:cubicBezTo>
              <a:close/>
            </a:path>
          </a:pathLst>
        </a:custGeom>
        <a:solidFill>
          <a:schemeClr val="lt1"/>
        </a:solidFill>
        <a:ln w="6350">
          <a:solidFill>
            <a:srgbClr val="FF0000"/>
          </a:solidFill>
          <a:extLst>
            <a:ext uri="{C807C97D-BFC1-408E-A445-0C87EB9F89A2}">
              <ask:lineSketchStyleProps xmlns:ask="http://schemas.microsoft.com/office/drawing/2018/sketchyshapes" sd="3794071524">
                <a:prstGeom prst="rect">
                  <a:avLst/>
                </a:prstGeom>
                <ask:type>
                  <ask:lineSketchFreehand/>
                </ask:type>
              </ask:lineSketchStyleProps>
            </a:ext>
          </a:extLst>
        </a:ln>
      </xdr:spPr>
      <xdr:txBody>
        <a:bodyPr rot="0" spcFirstLastPara="0" vert="horz" wrap="square" lIns="91440" tIns="45720" rIns="91440" bIns="45720" numCol="1" spcCol="0" rtlCol="1" fromWordArt="0" anchor="ctr" anchorCtr="0" forceAA="0" compatLnSpc="1">
          <a:prstTxWarp prst="textNoShape">
            <a:avLst/>
          </a:prstTxWarp>
          <a:noAutofit/>
        </a:bodyPr>
        <a:lstStyle/>
        <a:p>
          <a:pPr rtl="1"/>
          <a:r>
            <a:rPr lang="he-IL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יובהר כי הקובץ מהווה כלי עזר בלבד הנועד להמחיש את אופן החישוב בהתאם לנתונים תאורטיים בלבד, ואין בו כדי לחייב את נתיבי איילון. </a:t>
          </a:r>
          <a:endParaRPr lang="en-US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436470</xdr:colOff>
      <xdr:row>1</xdr:row>
      <xdr:rowOff>173134</xdr:rowOff>
    </xdr:from>
    <xdr:to>
      <xdr:col>6</xdr:col>
      <xdr:colOff>190502</xdr:colOff>
      <xdr:row>5</xdr:row>
      <xdr:rowOff>78442</xdr:rowOff>
    </xdr:to>
    <xdr:sp macro="" textlink="">
      <xdr:nvSpPr>
        <xdr:cNvPr id="3" name="מלבן: פינות מעוגלות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195102293" y="486899"/>
          <a:ext cx="3272679" cy="622484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7</xdr:col>
      <xdr:colOff>313764</xdr:colOff>
      <xdr:row>12</xdr:row>
      <xdr:rowOff>156114</xdr:rowOff>
    </xdr:from>
    <xdr:to>
      <xdr:col>19</xdr:col>
      <xdr:colOff>279317</xdr:colOff>
      <xdr:row>38</xdr:row>
      <xdr:rowOff>57047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227"/>
        <a:stretch/>
      </xdr:blipFill>
      <xdr:spPr>
        <a:xfrm>
          <a:off x="11186160831" y="2475732"/>
          <a:ext cx="8168258" cy="5391815"/>
        </a:xfrm>
        <a:prstGeom prst="rect">
          <a:avLst/>
        </a:prstGeom>
      </xdr:spPr>
    </xdr:pic>
    <xdr:clientData/>
  </xdr:twoCellAnchor>
  <xdr:twoCellAnchor>
    <xdr:from>
      <xdr:col>14</xdr:col>
      <xdr:colOff>246784</xdr:colOff>
      <xdr:row>3</xdr:row>
      <xdr:rowOff>56029</xdr:rowOff>
    </xdr:from>
    <xdr:to>
      <xdr:col>19</xdr:col>
      <xdr:colOff>523218</xdr:colOff>
      <xdr:row>11</xdr:row>
      <xdr:rowOff>89794</xdr:rowOff>
    </xdr:to>
    <xdr:sp macro="" textlink="">
      <xdr:nvSpPr>
        <xdr:cNvPr id="5" name="תיבת טקסט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 rot="20631424">
          <a:off x="11185916930" y="762000"/>
          <a:ext cx="3694228" cy="1468118"/>
        </a:xfrm>
        <a:custGeom>
          <a:avLst/>
          <a:gdLst>
            <a:gd name="connsiteX0" fmla="*/ 0 w 3694228"/>
            <a:gd name="connsiteY0" fmla="*/ 0 h 1468118"/>
            <a:gd name="connsiteX1" fmla="*/ 541820 w 3694228"/>
            <a:gd name="connsiteY1" fmla="*/ 0 h 1468118"/>
            <a:gd name="connsiteX2" fmla="*/ 1046698 w 3694228"/>
            <a:gd name="connsiteY2" fmla="*/ 0 h 1468118"/>
            <a:gd name="connsiteX3" fmla="*/ 1699345 w 3694228"/>
            <a:gd name="connsiteY3" fmla="*/ 0 h 1468118"/>
            <a:gd name="connsiteX4" fmla="*/ 2315050 w 3694228"/>
            <a:gd name="connsiteY4" fmla="*/ 0 h 1468118"/>
            <a:gd name="connsiteX5" fmla="*/ 2893812 w 3694228"/>
            <a:gd name="connsiteY5" fmla="*/ 0 h 1468118"/>
            <a:gd name="connsiteX6" fmla="*/ 3694228 w 3694228"/>
            <a:gd name="connsiteY6" fmla="*/ 0 h 1468118"/>
            <a:gd name="connsiteX7" fmla="*/ 3694228 w 3694228"/>
            <a:gd name="connsiteY7" fmla="*/ 445329 h 1468118"/>
            <a:gd name="connsiteX8" fmla="*/ 3694228 w 3694228"/>
            <a:gd name="connsiteY8" fmla="*/ 920021 h 1468118"/>
            <a:gd name="connsiteX9" fmla="*/ 3694228 w 3694228"/>
            <a:gd name="connsiteY9" fmla="*/ 1468118 h 1468118"/>
            <a:gd name="connsiteX10" fmla="*/ 3004639 w 3694228"/>
            <a:gd name="connsiteY10" fmla="*/ 1468118 h 1468118"/>
            <a:gd name="connsiteX11" fmla="*/ 2388934 w 3694228"/>
            <a:gd name="connsiteY11" fmla="*/ 1468118 h 1468118"/>
            <a:gd name="connsiteX12" fmla="*/ 1773229 w 3694228"/>
            <a:gd name="connsiteY12" fmla="*/ 1468118 h 1468118"/>
            <a:gd name="connsiteX13" fmla="*/ 1083640 w 3694228"/>
            <a:gd name="connsiteY13" fmla="*/ 1468118 h 1468118"/>
            <a:gd name="connsiteX14" fmla="*/ 0 w 3694228"/>
            <a:gd name="connsiteY14" fmla="*/ 1468118 h 1468118"/>
            <a:gd name="connsiteX15" fmla="*/ 0 w 3694228"/>
            <a:gd name="connsiteY15" fmla="*/ 993427 h 1468118"/>
            <a:gd name="connsiteX16" fmla="*/ 0 w 3694228"/>
            <a:gd name="connsiteY16" fmla="*/ 489373 h 1468118"/>
            <a:gd name="connsiteX17" fmla="*/ 0 w 3694228"/>
            <a:gd name="connsiteY17" fmla="*/ 0 h 14681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</a:cxnLst>
          <a:rect l="l" t="t" r="r" b="b"/>
          <a:pathLst>
            <a:path w="3694228" h="1468118" fill="none" extrusionOk="0">
              <a:moveTo>
                <a:pt x="0" y="0"/>
              </a:moveTo>
              <a:cubicBezTo>
                <a:pt x="240916" y="-24623"/>
                <a:pt x="313610" y="-25065"/>
                <a:pt x="541820" y="0"/>
              </a:cubicBezTo>
              <a:cubicBezTo>
                <a:pt x="770030" y="25065"/>
                <a:pt x="906268" y="-354"/>
                <a:pt x="1046698" y="0"/>
              </a:cubicBezTo>
              <a:cubicBezTo>
                <a:pt x="1187128" y="354"/>
                <a:pt x="1449765" y="1417"/>
                <a:pt x="1699345" y="0"/>
              </a:cubicBezTo>
              <a:cubicBezTo>
                <a:pt x="1948925" y="-1417"/>
                <a:pt x="2074006" y="-12481"/>
                <a:pt x="2315050" y="0"/>
              </a:cubicBezTo>
              <a:cubicBezTo>
                <a:pt x="2556094" y="12481"/>
                <a:pt x="2617229" y="17704"/>
                <a:pt x="2893812" y="0"/>
              </a:cubicBezTo>
              <a:cubicBezTo>
                <a:pt x="3170395" y="-17704"/>
                <a:pt x="3472683" y="21670"/>
                <a:pt x="3694228" y="0"/>
              </a:cubicBezTo>
              <a:cubicBezTo>
                <a:pt x="3705560" y="221908"/>
                <a:pt x="3685184" y="277912"/>
                <a:pt x="3694228" y="445329"/>
              </a:cubicBezTo>
              <a:cubicBezTo>
                <a:pt x="3703272" y="612746"/>
                <a:pt x="3698741" y="820960"/>
                <a:pt x="3694228" y="920021"/>
              </a:cubicBezTo>
              <a:cubicBezTo>
                <a:pt x="3689715" y="1019082"/>
                <a:pt x="3688765" y="1311829"/>
                <a:pt x="3694228" y="1468118"/>
              </a:cubicBezTo>
              <a:cubicBezTo>
                <a:pt x="3552542" y="1492015"/>
                <a:pt x="3220769" y="1450043"/>
                <a:pt x="3004639" y="1468118"/>
              </a:cubicBezTo>
              <a:cubicBezTo>
                <a:pt x="2788509" y="1486193"/>
                <a:pt x="2569732" y="1461385"/>
                <a:pt x="2388934" y="1468118"/>
              </a:cubicBezTo>
              <a:cubicBezTo>
                <a:pt x="2208136" y="1474851"/>
                <a:pt x="1909383" y="1472355"/>
                <a:pt x="1773229" y="1468118"/>
              </a:cubicBezTo>
              <a:cubicBezTo>
                <a:pt x="1637076" y="1463881"/>
                <a:pt x="1259445" y="1460750"/>
                <a:pt x="1083640" y="1468118"/>
              </a:cubicBezTo>
              <a:cubicBezTo>
                <a:pt x="907835" y="1475486"/>
                <a:pt x="360981" y="1491911"/>
                <a:pt x="0" y="1468118"/>
              </a:cubicBezTo>
              <a:cubicBezTo>
                <a:pt x="7130" y="1283619"/>
                <a:pt x="14263" y="1210152"/>
                <a:pt x="0" y="993427"/>
              </a:cubicBezTo>
              <a:cubicBezTo>
                <a:pt x="-14263" y="776702"/>
                <a:pt x="21628" y="629792"/>
                <a:pt x="0" y="489373"/>
              </a:cubicBezTo>
              <a:cubicBezTo>
                <a:pt x="-21628" y="348954"/>
                <a:pt x="9384" y="229869"/>
                <a:pt x="0" y="0"/>
              </a:cubicBezTo>
              <a:close/>
            </a:path>
            <a:path w="3694228" h="1468118" stroke="0" extrusionOk="0">
              <a:moveTo>
                <a:pt x="0" y="0"/>
              </a:moveTo>
              <a:cubicBezTo>
                <a:pt x="332877" y="-8149"/>
                <a:pt x="452527" y="27300"/>
                <a:pt x="689589" y="0"/>
              </a:cubicBezTo>
              <a:cubicBezTo>
                <a:pt x="926651" y="-27300"/>
                <a:pt x="985494" y="-13918"/>
                <a:pt x="1194467" y="0"/>
              </a:cubicBezTo>
              <a:cubicBezTo>
                <a:pt x="1403440" y="13918"/>
                <a:pt x="1600496" y="10467"/>
                <a:pt x="1736287" y="0"/>
              </a:cubicBezTo>
              <a:cubicBezTo>
                <a:pt x="1872078" y="-10467"/>
                <a:pt x="2172730" y="2604"/>
                <a:pt x="2315050" y="0"/>
              </a:cubicBezTo>
              <a:cubicBezTo>
                <a:pt x="2457370" y="-2604"/>
                <a:pt x="2718839" y="-10170"/>
                <a:pt x="2819927" y="0"/>
              </a:cubicBezTo>
              <a:cubicBezTo>
                <a:pt x="2921015" y="10170"/>
                <a:pt x="3333810" y="-16455"/>
                <a:pt x="3694228" y="0"/>
              </a:cubicBezTo>
              <a:cubicBezTo>
                <a:pt x="3693484" y="172123"/>
                <a:pt x="3694611" y="332148"/>
                <a:pt x="3694228" y="460010"/>
              </a:cubicBezTo>
              <a:cubicBezTo>
                <a:pt x="3693846" y="587872"/>
                <a:pt x="3705898" y="810061"/>
                <a:pt x="3694228" y="964064"/>
              </a:cubicBezTo>
              <a:cubicBezTo>
                <a:pt x="3682558" y="1118067"/>
                <a:pt x="3691787" y="1248389"/>
                <a:pt x="3694228" y="1468118"/>
              </a:cubicBezTo>
              <a:cubicBezTo>
                <a:pt x="3536895" y="1470234"/>
                <a:pt x="3419016" y="1481635"/>
                <a:pt x="3189350" y="1468118"/>
              </a:cubicBezTo>
              <a:cubicBezTo>
                <a:pt x="2959684" y="1454601"/>
                <a:pt x="2682731" y="1487687"/>
                <a:pt x="2499761" y="1468118"/>
              </a:cubicBezTo>
              <a:cubicBezTo>
                <a:pt x="2316791" y="1448549"/>
                <a:pt x="2154824" y="1487497"/>
                <a:pt x="1920999" y="1468118"/>
              </a:cubicBezTo>
              <a:cubicBezTo>
                <a:pt x="1687174" y="1448739"/>
                <a:pt x="1604640" y="1467312"/>
                <a:pt x="1416121" y="1468118"/>
              </a:cubicBezTo>
              <a:cubicBezTo>
                <a:pt x="1227602" y="1468924"/>
                <a:pt x="1092785" y="1441659"/>
                <a:pt x="837358" y="1468118"/>
              </a:cubicBezTo>
              <a:cubicBezTo>
                <a:pt x="581931" y="1494577"/>
                <a:pt x="178140" y="1484089"/>
                <a:pt x="0" y="1468118"/>
              </a:cubicBezTo>
              <a:cubicBezTo>
                <a:pt x="-8584" y="1259985"/>
                <a:pt x="6341" y="1143468"/>
                <a:pt x="0" y="1008108"/>
              </a:cubicBezTo>
              <a:cubicBezTo>
                <a:pt x="-6341" y="872748"/>
                <a:pt x="10822" y="709419"/>
                <a:pt x="0" y="489373"/>
              </a:cubicBezTo>
              <a:cubicBezTo>
                <a:pt x="-10822" y="269327"/>
                <a:pt x="-15602" y="142150"/>
                <a:pt x="0" y="0"/>
              </a:cubicBezTo>
              <a:close/>
            </a:path>
          </a:pathLst>
        </a:custGeom>
        <a:solidFill>
          <a:schemeClr val="lt1"/>
        </a:solidFill>
        <a:ln w="6350">
          <a:solidFill>
            <a:srgbClr val="FF0000"/>
          </a:solidFill>
          <a:extLst>
            <a:ext uri="{C807C97D-BFC1-408E-A445-0C87EB9F89A2}">
              <ask:lineSketchStyleProps xmlns:ask="http://schemas.microsoft.com/office/drawing/2018/sketchyshapes" sd="3794071524">
                <a:prstGeom prst="rect">
                  <a:avLst/>
                </a:prstGeom>
                <ask:type>
                  <ask:lineSketchFreehand/>
                </ask:type>
              </ask:lineSketchStyleProps>
            </a:ext>
          </a:extLst>
        </a:ln>
      </xdr:spPr>
      <xdr:txBody>
        <a:bodyPr rot="0" spcFirstLastPara="0" vert="horz" wrap="square" lIns="91440" tIns="45720" rIns="91440" bIns="45720" numCol="1" spcCol="0" rtlCol="1" fromWordArt="0" anchor="ctr" anchorCtr="0" forceAA="0" compatLnSpc="1">
          <a:prstTxWarp prst="textNoShape">
            <a:avLst/>
          </a:prstTxWarp>
          <a:noAutofit/>
        </a:bodyPr>
        <a:lstStyle/>
        <a:p>
          <a:pPr rtl="1"/>
          <a:r>
            <a:rPr lang="he-IL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יובהר כי הקובץ מהווה כלי עזר בלבד הנועד להמחיש את אופן החישוב בהתאם לנתונים תאורטיים בלבד, ואין בו כדי לחייב את נתיבי איילון. </a:t>
          </a:r>
          <a:endParaRPr lang="en-US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32E3C-5324-414A-8429-BAA5D90473B9}">
  <sheetPr codeName="גיליון1">
    <tabColor theme="0"/>
  </sheetPr>
  <dimension ref="A2:D31"/>
  <sheetViews>
    <sheetView rightToLeft="1" workbookViewId="0">
      <selection activeCell="A26" sqref="A26"/>
    </sheetView>
  </sheetViews>
  <sheetFormatPr defaultRowHeight="14.25" x14ac:dyDescent="0.2"/>
  <cols>
    <col min="1" max="1" width="35.625" customWidth="1"/>
    <col min="2" max="3" width="22.875" customWidth="1"/>
    <col min="4" max="4" width="35.875" bestFit="1" customWidth="1"/>
  </cols>
  <sheetData>
    <row r="2" spans="1:4" ht="15" thickBot="1" x14ac:dyDescent="0.25"/>
    <row r="3" spans="1:4" x14ac:dyDescent="0.2">
      <c r="A3" s="48" t="s">
        <v>67</v>
      </c>
      <c r="B3" s="49" t="s">
        <v>70</v>
      </c>
      <c r="C3" s="60" t="s">
        <v>72</v>
      </c>
      <c r="D3" s="50" t="s">
        <v>73</v>
      </c>
    </row>
    <row r="4" spans="1:4" x14ac:dyDescent="0.2">
      <c r="A4" s="51" t="s">
        <v>71</v>
      </c>
      <c r="B4" s="44">
        <v>0</v>
      </c>
      <c r="C4" s="61">
        <v>1</v>
      </c>
      <c r="D4" s="52">
        <v>0</v>
      </c>
    </row>
    <row r="5" spans="1:4" x14ac:dyDescent="0.2">
      <c r="A5" s="51" t="s">
        <v>68</v>
      </c>
      <c r="B5" s="44">
        <v>3</v>
      </c>
      <c r="C5" s="61">
        <v>0.5</v>
      </c>
      <c r="D5" s="52">
        <f>(B5-B4)*C4+D4</f>
        <v>3</v>
      </c>
    </row>
    <row r="6" spans="1:4" ht="15" thickBot="1" x14ac:dyDescent="0.25">
      <c r="A6" s="53" t="s">
        <v>69</v>
      </c>
      <c r="B6" s="54">
        <v>6</v>
      </c>
      <c r="C6" s="62">
        <v>0</v>
      </c>
      <c r="D6" s="55">
        <f>(B6-B5)*C5+D5</f>
        <v>4.5</v>
      </c>
    </row>
    <row r="8" spans="1:4" ht="15" thickBot="1" x14ac:dyDescent="0.25"/>
    <row r="9" spans="1:4" ht="17.25" customHeight="1" thickBot="1" x14ac:dyDescent="0.25">
      <c r="B9" s="157" t="s">
        <v>74</v>
      </c>
      <c r="C9" s="158"/>
    </row>
    <row r="10" spans="1:4" x14ac:dyDescent="0.2">
      <c r="B10" s="56" t="s">
        <v>65</v>
      </c>
      <c r="C10" s="59" t="s">
        <v>66</v>
      </c>
    </row>
    <row r="11" spans="1:4" x14ac:dyDescent="0.2">
      <c r="B11" s="57">
        <v>0</v>
      </c>
      <c r="C11" s="63">
        <f t="shared" ref="C11:C31" si="0">VLOOKUP(B11,$B$4:$D$6,3,TRUE)+(B11-VLOOKUP(B11,$B$4:$D$6,1,TRUE))*VLOOKUP(B11,$B$4:$D$6,2,TRUE)</f>
        <v>0</v>
      </c>
    </row>
    <row r="12" spans="1:4" x14ac:dyDescent="0.2">
      <c r="A12" s="156"/>
      <c r="B12" s="57">
        <v>1</v>
      </c>
      <c r="C12" s="63">
        <f t="shared" si="0"/>
        <v>1</v>
      </c>
    </row>
    <row r="13" spans="1:4" x14ac:dyDescent="0.2">
      <c r="A13" s="156"/>
      <c r="B13" s="57">
        <v>2</v>
      </c>
      <c r="C13" s="63">
        <f t="shared" si="0"/>
        <v>2</v>
      </c>
    </row>
    <row r="14" spans="1:4" x14ac:dyDescent="0.2">
      <c r="A14" s="156"/>
      <c r="B14" s="57">
        <v>3</v>
      </c>
      <c r="C14" s="63">
        <f t="shared" si="0"/>
        <v>3</v>
      </c>
    </row>
    <row r="15" spans="1:4" x14ac:dyDescent="0.2">
      <c r="A15" s="156"/>
      <c r="B15" s="57">
        <v>4</v>
      </c>
      <c r="C15" s="63">
        <f t="shared" si="0"/>
        <v>3.5</v>
      </c>
    </row>
    <row r="16" spans="1:4" x14ac:dyDescent="0.2">
      <c r="A16" s="156"/>
      <c r="B16" s="57">
        <v>5</v>
      </c>
      <c r="C16" s="63">
        <f t="shared" si="0"/>
        <v>4</v>
      </c>
    </row>
    <row r="17" spans="1:3" x14ac:dyDescent="0.2">
      <c r="A17" s="156"/>
      <c r="B17" s="57">
        <v>6</v>
      </c>
      <c r="C17" s="63">
        <f t="shared" si="0"/>
        <v>4.5</v>
      </c>
    </row>
    <row r="18" spans="1:3" x14ac:dyDescent="0.2">
      <c r="B18" s="57">
        <v>7</v>
      </c>
      <c r="C18" s="63">
        <f t="shared" si="0"/>
        <v>4.5</v>
      </c>
    </row>
    <row r="19" spans="1:3" x14ac:dyDescent="0.2">
      <c r="B19" s="57">
        <v>8</v>
      </c>
      <c r="C19" s="63">
        <f t="shared" si="0"/>
        <v>4.5</v>
      </c>
    </row>
    <row r="20" spans="1:3" x14ac:dyDescent="0.2">
      <c r="B20" s="57">
        <v>9</v>
      </c>
      <c r="C20" s="63">
        <f t="shared" si="0"/>
        <v>4.5</v>
      </c>
    </row>
    <row r="21" spans="1:3" x14ac:dyDescent="0.2">
      <c r="B21" s="57">
        <v>10</v>
      </c>
      <c r="C21" s="63">
        <f t="shared" si="0"/>
        <v>4.5</v>
      </c>
    </row>
    <row r="22" spans="1:3" x14ac:dyDescent="0.2">
      <c r="B22" s="57">
        <v>11</v>
      </c>
      <c r="C22" s="63">
        <f t="shared" si="0"/>
        <v>4.5</v>
      </c>
    </row>
    <row r="23" spans="1:3" x14ac:dyDescent="0.2">
      <c r="B23" s="57">
        <v>12</v>
      </c>
      <c r="C23" s="63">
        <f t="shared" si="0"/>
        <v>4.5</v>
      </c>
    </row>
    <row r="24" spans="1:3" x14ac:dyDescent="0.2">
      <c r="B24" s="57">
        <v>13</v>
      </c>
      <c r="C24" s="63">
        <f t="shared" si="0"/>
        <v>4.5</v>
      </c>
    </row>
    <row r="25" spans="1:3" x14ac:dyDescent="0.2">
      <c r="B25" s="57">
        <v>14</v>
      </c>
      <c r="C25" s="63">
        <f t="shared" si="0"/>
        <v>4.5</v>
      </c>
    </row>
    <row r="26" spans="1:3" x14ac:dyDescent="0.2">
      <c r="B26" s="57">
        <v>15</v>
      </c>
      <c r="C26" s="63">
        <f t="shared" si="0"/>
        <v>4.5</v>
      </c>
    </row>
    <row r="27" spans="1:3" x14ac:dyDescent="0.2">
      <c r="B27" s="57">
        <v>16</v>
      </c>
      <c r="C27" s="63">
        <f t="shared" si="0"/>
        <v>4.5</v>
      </c>
    </row>
    <row r="28" spans="1:3" x14ac:dyDescent="0.2">
      <c r="B28" s="57">
        <v>17</v>
      </c>
      <c r="C28" s="63">
        <f t="shared" si="0"/>
        <v>4.5</v>
      </c>
    </row>
    <row r="29" spans="1:3" x14ac:dyDescent="0.2">
      <c r="B29" s="57">
        <v>18</v>
      </c>
      <c r="C29" s="63">
        <f t="shared" si="0"/>
        <v>4.5</v>
      </c>
    </row>
    <row r="30" spans="1:3" x14ac:dyDescent="0.2">
      <c r="B30" s="57">
        <v>19</v>
      </c>
      <c r="C30" s="63">
        <f t="shared" si="0"/>
        <v>4.5</v>
      </c>
    </row>
    <row r="31" spans="1:3" ht="15" thickBot="1" x14ac:dyDescent="0.25">
      <c r="B31" s="58">
        <v>20</v>
      </c>
      <c r="C31" s="64">
        <f t="shared" si="0"/>
        <v>4.5</v>
      </c>
    </row>
  </sheetData>
  <mergeCells count="3">
    <mergeCell ref="A12:A14"/>
    <mergeCell ref="A15:A17"/>
    <mergeCell ref="B9:C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A0217-A864-4167-8ECB-D275F1960EB1}">
  <sheetPr codeName="גיליון2">
    <tabColor theme="3" tint="0.79998168889431442"/>
    <pageSetUpPr fitToPage="1"/>
  </sheetPr>
  <dimension ref="A1:X197"/>
  <sheetViews>
    <sheetView showGridLines="0" rightToLeft="1" tabSelected="1" view="pageBreakPreview" topLeftCell="A56" zoomScale="40" zoomScaleNormal="85" zoomScaleSheetLayoutView="40" workbookViewId="0">
      <selection activeCell="D98" sqref="D98"/>
    </sheetView>
  </sheetViews>
  <sheetFormatPr defaultRowHeight="14.25" x14ac:dyDescent="0.2"/>
  <cols>
    <col min="1" max="1" width="7.375" style="3" customWidth="1"/>
    <col min="2" max="2" width="50.125" bestFit="1" customWidth="1"/>
    <col min="3" max="3" width="39.5" customWidth="1"/>
    <col min="4" max="4" width="26.875" customWidth="1"/>
    <col min="5" max="5" width="44.25" bestFit="1" customWidth="1"/>
    <col min="6" max="6" width="50.625" customWidth="1"/>
    <col min="7" max="7" width="18.75" customWidth="1"/>
    <col min="11" max="11" width="19.875" bestFit="1" customWidth="1"/>
    <col min="12" max="12" width="19.875" customWidth="1"/>
    <col min="18" max="18" width="11.125" bestFit="1" customWidth="1"/>
    <col min="19" max="19" width="12.75" bestFit="1" customWidth="1"/>
    <col min="20" max="20" width="8.25" hidden="1" customWidth="1"/>
    <col min="21" max="21" width="8.875" hidden="1" customWidth="1"/>
    <col min="22" max="22" width="11.5" hidden="1" customWidth="1"/>
    <col min="23" max="23" width="13" hidden="1" customWidth="1"/>
    <col min="24" max="24" width="0" hidden="1" customWidth="1"/>
  </cols>
  <sheetData>
    <row r="1" spans="1:24" ht="39.950000000000003" customHeight="1" x14ac:dyDescent="0.2">
      <c r="A1" s="159" t="s">
        <v>109</v>
      </c>
      <c r="B1" s="159"/>
      <c r="C1" s="73"/>
      <c r="D1" s="74"/>
      <c r="E1" s="73"/>
      <c r="F1" s="73"/>
      <c r="G1" s="14"/>
      <c r="H1" s="3"/>
      <c r="I1" s="3"/>
      <c r="J1" s="3"/>
      <c r="K1" s="3"/>
      <c r="L1" s="3"/>
      <c r="T1" s="41" t="s">
        <v>17</v>
      </c>
      <c r="V1" s="32" t="s">
        <v>25</v>
      </c>
      <c r="W1" s="33" t="s">
        <v>26</v>
      </c>
      <c r="X1" s="34">
        <f>(W9-W3)/(ROW(W9)-ROW(W3))</f>
        <v>-2.5000000000000005E-2</v>
      </c>
    </row>
    <row r="2" spans="1:24" ht="15" thickBo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T2" s="42" t="s">
        <v>18</v>
      </c>
      <c r="V2" s="35">
        <v>0</v>
      </c>
      <c r="W2" s="36">
        <v>1</v>
      </c>
      <c r="X2" s="37"/>
    </row>
    <row r="3" spans="1:24" ht="30" customHeight="1" thickBot="1" x14ac:dyDescent="0.25">
      <c r="A3" s="164" t="s">
        <v>124</v>
      </c>
      <c r="B3" s="164"/>
      <c r="C3" s="164"/>
      <c r="D3" s="47"/>
      <c r="E3" s="47"/>
      <c r="F3" s="47"/>
      <c r="G3" s="3"/>
      <c r="H3" s="3"/>
      <c r="I3" s="3"/>
      <c r="J3" s="3"/>
      <c r="K3" s="3"/>
      <c r="L3" s="3"/>
      <c r="V3" s="35">
        <v>2</v>
      </c>
      <c r="W3" s="36">
        <v>1</v>
      </c>
      <c r="X3" s="37"/>
    </row>
    <row r="4" spans="1:24" ht="18.75" customHeight="1" x14ac:dyDescent="0.2">
      <c r="A4" s="165" t="s">
        <v>119</v>
      </c>
      <c r="B4" s="68" t="s">
        <v>87</v>
      </c>
      <c r="C4" s="75" t="s">
        <v>18</v>
      </c>
      <c r="D4" s="3"/>
      <c r="E4" s="3"/>
      <c r="F4" s="3"/>
      <c r="G4" s="3"/>
      <c r="H4" s="3"/>
      <c r="I4" s="3"/>
      <c r="J4" s="3"/>
      <c r="K4" s="3"/>
      <c r="L4" s="3"/>
      <c r="V4" s="35"/>
      <c r="W4" s="36">
        <f>W3+$X$1</f>
        <v>0.97499999999999998</v>
      </c>
      <c r="X4" s="37"/>
    </row>
    <row r="5" spans="1:24" ht="15" thickBot="1" x14ac:dyDescent="0.25">
      <c r="A5" s="166"/>
      <c r="B5" s="65" t="s">
        <v>94</v>
      </c>
      <c r="C5" s="77">
        <f>IF(C4=T1,1.5,1)</f>
        <v>1</v>
      </c>
      <c r="D5" s="151" t="s">
        <v>152</v>
      </c>
      <c r="E5" s="3"/>
      <c r="F5" s="14" t="s">
        <v>34</v>
      </c>
      <c r="G5" s="3"/>
      <c r="H5" s="3"/>
      <c r="I5" s="3"/>
      <c r="J5" s="3"/>
      <c r="K5" s="3"/>
      <c r="L5" s="3"/>
      <c r="T5" s="31"/>
      <c r="V5" s="35">
        <v>3</v>
      </c>
      <c r="W5" s="36">
        <f>W4+$X$1</f>
        <v>0.95</v>
      </c>
      <c r="X5" s="37"/>
    </row>
    <row r="6" spans="1:24" ht="18.75" customHeight="1" thickBot="1" x14ac:dyDescent="0.25">
      <c r="A6" s="72"/>
      <c r="B6" s="71"/>
      <c r="C6" s="15"/>
      <c r="D6" s="152"/>
      <c r="E6" s="3"/>
      <c r="F6" s="76" t="s">
        <v>35</v>
      </c>
      <c r="G6" s="3"/>
      <c r="H6" s="3"/>
      <c r="I6" s="3"/>
      <c r="J6" s="3"/>
      <c r="K6" s="3"/>
      <c r="L6" s="3"/>
      <c r="T6" s="31"/>
      <c r="V6" s="35"/>
      <c r="W6" s="36">
        <f>W5+$X$1</f>
        <v>0.92499999999999993</v>
      </c>
      <c r="X6" s="37"/>
    </row>
    <row r="7" spans="1:24" ht="18.75" customHeight="1" x14ac:dyDescent="0.2">
      <c r="A7" s="165" t="s">
        <v>120</v>
      </c>
      <c r="B7" s="69" t="s">
        <v>93</v>
      </c>
      <c r="C7" s="75">
        <v>4.2</v>
      </c>
      <c r="D7" s="152"/>
      <c r="E7" s="3"/>
      <c r="F7" s="153" t="s">
        <v>36</v>
      </c>
      <c r="G7" s="3"/>
      <c r="H7" s="3"/>
      <c r="I7" s="3"/>
      <c r="J7" s="3"/>
      <c r="K7" s="3"/>
      <c r="L7" s="3"/>
      <c r="T7" s="31"/>
      <c r="V7" s="35">
        <v>4</v>
      </c>
      <c r="W7" s="36">
        <f>W6+$X$1</f>
        <v>0.89999999999999991</v>
      </c>
      <c r="X7" s="37"/>
    </row>
    <row r="8" spans="1:24" ht="17.25" customHeight="1" thickBot="1" x14ac:dyDescent="0.25">
      <c r="A8" s="166"/>
      <c r="B8" s="65" t="s">
        <v>92</v>
      </c>
      <c r="C8" s="77">
        <f>IF(C7&lt;V3,W2,IF(C7&gt;V9,W9,W3-(((W3-W9)/(V9-V3))*(C7-V3))))</f>
        <v>0.89</v>
      </c>
      <c r="D8" s="151" t="s">
        <v>152</v>
      </c>
      <c r="E8" s="3"/>
      <c r="F8" s="154" t="s">
        <v>157</v>
      </c>
      <c r="G8" s="3"/>
      <c r="H8" s="3"/>
      <c r="I8" s="3"/>
      <c r="J8" s="3"/>
      <c r="K8" s="3"/>
      <c r="L8" s="3"/>
      <c r="T8" s="31"/>
      <c r="V8" s="35"/>
      <c r="W8" s="36">
        <f>W7+$X$1</f>
        <v>0.87499999999999989</v>
      </c>
      <c r="X8" s="37"/>
    </row>
    <row r="9" spans="1:24" ht="14.25" customHeight="1" thickBot="1" x14ac:dyDescent="0.25">
      <c r="B9" s="46"/>
      <c r="C9" s="45"/>
      <c r="D9" s="3"/>
      <c r="E9" s="3"/>
      <c r="F9" s="3"/>
      <c r="G9" s="3"/>
      <c r="H9" s="3"/>
      <c r="I9" s="3"/>
      <c r="J9" s="3"/>
      <c r="K9" s="3"/>
      <c r="L9" s="3"/>
      <c r="T9" s="31"/>
      <c r="V9" s="38">
        <v>5</v>
      </c>
      <c r="W9" s="39">
        <v>0.85</v>
      </c>
      <c r="X9" s="40"/>
    </row>
    <row r="10" spans="1:24" ht="18.75" customHeight="1" x14ac:dyDescent="0.2">
      <c r="A10" s="165" t="s">
        <v>121</v>
      </c>
      <c r="B10" s="128" t="s">
        <v>110</v>
      </c>
      <c r="C10" s="127" t="s">
        <v>123</v>
      </c>
      <c r="D10" s="3"/>
      <c r="E10" s="3"/>
      <c r="F10" s="3"/>
      <c r="G10" s="3"/>
      <c r="H10" s="3"/>
      <c r="I10" s="3"/>
      <c r="J10" s="3"/>
      <c r="K10" s="3"/>
      <c r="L10" s="3"/>
      <c r="T10" s="31"/>
    </row>
    <row r="11" spans="1:24" x14ac:dyDescent="0.2">
      <c r="A11" s="167"/>
      <c r="B11" s="10" t="s">
        <v>103</v>
      </c>
      <c r="C11" s="78">
        <f>'חתך המנהרה'!C3</f>
        <v>68</v>
      </c>
      <c r="D11" s="169" t="s">
        <v>153</v>
      </c>
      <c r="E11" s="43"/>
      <c r="F11" s="3"/>
      <c r="G11" s="3"/>
      <c r="H11" s="3"/>
      <c r="I11" s="3"/>
      <c r="J11" s="3"/>
      <c r="K11" s="3"/>
      <c r="L11" s="3"/>
      <c r="T11" s="31"/>
    </row>
    <row r="12" spans="1:24" x14ac:dyDescent="0.2">
      <c r="A12" s="167"/>
      <c r="B12" s="10" t="s">
        <v>51</v>
      </c>
      <c r="C12" s="79">
        <f>'חתך המנהרה'!C4</f>
        <v>27</v>
      </c>
      <c r="D12" s="169"/>
      <c r="E12" s="43"/>
      <c r="F12" s="3"/>
      <c r="G12" s="3"/>
      <c r="H12" s="3"/>
      <c r="I12" s="3"/>
      <c r="J12" s="3"/>
      <c r="K12" s="3"/>
      <c r="L12" s="3"/>
      <c r="T12" s="31"/>
    </row>
    <row r="13" spans="1:24" x14ac:dyDescent="0.2">
      <c r="A13" s="167"/>
      <c r="B13" s="66" t="s">
        <v>76</v>
      </c>
      <c r="C13" s="79">
        <f>'חתך המנהרה'!C5</f>
        <v>22</v>
      </c>
      <c r="D13" s="169"/>
      <c r="E13" s="43"/>
      <c r="F13" s="3"/>
      <c r="G13" s="3"/>
      <c r="H13" s="3"/>
      <c r="I13" s="3"/>
      <c r="J13" s="3"/>
      <c r="K13" s="3"/>
      <c r="L13" s="3"/>
    </row>
    <row r="14" spans="1:24" x14ac:dyDescent="0.2">
      <c r="A14" s="167"/>
      <c r="B14" s="10" t="s">
        <v>59</v>
      </c>
      <c r="C14" s="78" t="str">
        <f>'חתך המנהרה'!C8</f>
        <v>כן</v>
      </c>
      <c r="D14" s="169"/>
      <c r="E14" s="3"/>
      <c r="F14" s="3"/>
      <c r="G14" s="3"/>
      <c r="H14" s="3"/>
      <c r="I14" s="3"/>
      <c r="J14" s="3"/>
      <c r="K14" s="3"/>
      <c r="L14" s="3"/>
    </row>
    <row r="15" spans="1:24" ht="17.25" customHeight="1" x14ac:dyDescent="0.2">
      <c r="A15" s="167"/>
      <c r="B15" s="10" t="s">
        <v>60</v>
      </c>
      <c r="C15" s="78" t="str">
        <f>'חתך המנהרה'!C9</f>
        <v>כן</v>
      </c>
      <c r="D15" s="169"/>
      <c r="E15" s="3"/>
      <c r="F15" s="3"/>
      <c r="G15" s="3"/>
      <c r="H15" s="3"/>
      <c r="I15" s="3"/>
      <c r="J15" s="3"/>
      <c r="K15" s="3"/>
      <c r="L15" s="3"/>
    </row>
    <row r="16" spans="1:24" x14ac:dyDescent="0.2">
      <c r="A16" s="167"/>
      <c r="B16" s="10" t="s">
        <v>61</v>
      </c>
      <c r="C16" s="78" t="str">
        <f>'חתך המנהרה'!C10</f>
        <v>כן</v>
      </c>
      <c r="D16" s="169"/>
      <c r="E16" s="43"/>
      <c r="F16" s="3"/>
      <c r="G16" s="3"/>
      <c r="H16" s="3"/>
      <c r="I16" s="3"/>
      <c r="J16" s="3"/>
      <c r="K16" s="3"/>
      <c r="L16" s="3"/>
    </row>
    <row r="17" spans="1:12" ht="15" thickBot="1" x14ac:dyDescent="0.25">
      <c r="A17" s="166"/>
      <c r="B17" s="11" t="s">
        <v>62</v>
      </c>
      <c r="C17" s="80" t="str">
        <f>'חתך המנהרה'!C11</f>
        <v>כן</v>
      </c>
      <c r="D17" s="169"/>
      <c r="E17" s="43"/>
      <c r="F17" s="3"/>
      <c r="G17" s="3"/>
      <c r="H17" s="3"/>
      <c r="I17" s="3"/>
      <c r="J17" s="3"/>
      <c r="K17" s="3"/>
      <c r="L17" s="3"/>
    </row>
    <row r="18" spans="1:12" ht="12" customHeight="1" thickBot="1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ht="18.75" customHeight="1" x14ac:dyDescent="0.2">
      <c r="A19" s="85" t="s">
        <v>2</v>
      </c>
      <c r="B19" s="82" t="s">
        <v>3</v>
      </c>
      <c r="C19" s="83" t="s">
        <v>122</v>
      </c>
      <c r="D19" s="3"/>
      <c r="E19" s="140" t="s">
        <v>147</v>
      </c>
      <c r="F19" s="3"/>
      <c r="G19" s="3"/>
      <c r="H19" s="3"/>
      <c r="I19" s="3"/>
      <c r="J19" s="3"/>
      <c r="K19" s="3"/>
      <c r="L19" s="3"/>
    </row>
    <row r="20" spans="1:12" ht="18.75" customHeight="1" x14ac:dyDescent="0.2">
      <c r="A20" s="86" t="s">
        <v>126</v>
      </c>
      <c r="B20" s="1" t="s">
        <v>111</v>
      </c>
      <c r="C20" s="150">
        <v>0</v>
      </c>
      <c r="D20" s="3"/>
      <c r="E20" s="141">
        <f>C66</f>
        <v>0</v>
      </c>
      <c r="F20" s="3"/>
      <c r="G20" s="3"/>
      <c r="H20" s="3"/>
      <c r="I20" s="3"/>
      <c r="J20" s="3"/>
      <c r="K20" s="3"/>
      <c r="L20" s="3"/>
    </row>
    <row r="21" spans="1:12" ht="18.75" customHeight="1" x14ac:dyDescent="0.2">
      <c r="A21" s="86" t="s">
        <v>127</v>
      </c>
      <c r="B21" s="1" t="s">
        <v>112</v>
      </c>
      <c r="C21" s="150">
        <v>1</v>
      </c>
      <c r="D21" s="170" t="s">
        <v>154</v>
      </c>
      <c r="E21" s="141">
        <f>C82</f>
        <v>801902.59016443894</v>
      </c>
      <c r="F21" s="3"/>
      <c r="G21" s="3"/>
      <c r="H21" s="3"/>
      <c r="I21" s="3"/>
      <c r="J21" s="3"/>
      <c r="K21" s="3"/>
      <c r="L21" s="3"/>
    </row>
    <row r="22" spans="1:12" ht="18.75" customHeight="1" x14ac:dyDescent="0.2">
      <c r="A22" s="86" t="s">
        <v>128</v>
      </c>
      <c r="B22" s="1" t="s">
        <v>113</v>
      </c>
      <c r="C22" s="150">
        <v>0</v>
      </c>
      <c r="D22" s="171"/>
      <c r="E22" s="141">
        <f>C98</f>
        <v>0</v>
      </c>
      <c r="F22" s="3"/>
      <c r="G22" s="3"/>
      <c r="H22" s="3"/>
      <c r="I22" s="3"/>
      <c r="J22" s="3"/>
      <c r="K22" s="3"/>
      <c r="L22" s="3"/>
    </row>
    <row r="23" spans="1:12" ht="18.75" customHeight="1" x14ac:dyDescent="0.2">
      <c r="A23" s="86" t="s">
        <v>129</v>
      </c>
      <c r="B23" s="1" t="s">
        <v>114</v>
      </c>
      <c r="C23" s="150">
        <v>0</v>
      </c>
      <c r="D23" s="172"/>
      <c r="E23" s="141">
        <f>C114</f>
        <v>0</v>
      </c>
      <c r="F23" s="3"/>
      <c r="G23" s="3"/>
      <c r="H23" s="3"/>
      <c r="I23" s="3"/>
      <c r="J23" s="3"/>
      <c r="K23" s="3"/>
      <c r="L23" s="3"/>
    </row>
    <row r="24" spans="1:12" ht="18.75" customHeight="1" x14ac:dyDescent="0.2">
      <c r="A24" s="86" t="s">
        <v>130</v>
      </c>
      <c r="B24" s="1" t="s">
        <v>115</v>
      </c>
      <c r="C24" s="150">
        <v>1</v>
      </c>
      <c r="D24" s="169" t="s">
        <v>155</v>
      </c>
      <c r="E24" s="141">
        <f>C130</f>
        <v>1559255.0364308537</v>
      </c>
      <c r="F24" s="3"/>
      <c r="G24" s="3"/>
      <c r="H24" s="3"/>
      <c r="I24" s="3"/>
      <c r="J24" s="3"/>
      <c r="K24" s="3"/>
      <c r="L24" s="3"/>
    </row>
    <row r="25" spans="1:12" ht="18.75" customHeight="1" x14ac:dyDescent="0.2">
      <c r="A25" s="86" t="s">
        <v>131</v>
      </c>
      <c r="B25" s="1" t="s">
        <v>116</v>
      </c>
      <c r="C25" s="150">
        <v>0</v>
      </c>
      <c r="D25" s="169"/>
      <c r="E25" s="141">
        <f>C146</f>
        <v>0</v>
      </c>
      <c r="F25" s="3"/>
      <c r="G25" s="3"/>
      <c r="H25" s="3"/>
      <c r="I25" s="3"/>
      <c r="J25" s="3"/>
      <c r="K25" s="3"/>
      <c r="L25" s="3"/>
    </row>
    <row r="26" spans="1:12" ht="18.75" customHeight="1" x14ac:dyDescent="0.2">
      <c r="A26" s="86" t="s">
        <v>132</v>
      </c>
      <c r="B26" s="1" t="s">
        <v>1</v>
      </c>
      <c r="C26" s="150">
        <v>1</v>
      </c>
      <c r="D26" s="3"/>
      <c r="E26" s="141">
        <f>C162</f>
        <v>445501.43898024387</v>
      </c>
      <c r="F26" s="3"/>
      <c r="G26" s="3"/>
      <c r="H26" s="3"/>
      <c r="I26" s="3"/>
      <c r="J26" s="3"/>
      <c r="K26" s="3"/>
      <c r="L26" s="3"/>
    </row>
    <row r="27" spans="1:12" ht="18.75" customHeight="1" x14ac:dyDescent="0.2">
      <c r="A27" s="132" t="s">
        <v>133</v>
      </c>
      <c r="B27" s="131" t="s">
        <v>117</v>
      </c>
      <c r="C27" s="135" t="b">
        <v>0</v>
      </c>
      <c r="D27" s="169" t="s">
        <v>156</v>
      </c>
      <c r="E27" s="142">
        <f>C168</f>
        <v>0</v>
      </c>
      <c r="F27" s="3"/>
      <c r="G27" s="3"/>
      <c r="H27" s="3"/>
      <c r="I27" s="3"/>
      <c r="J27" s="3"/>
      <c r="K27" s="3"/>
      <c r="L27" s="3"/>
    </row>
    <row r="28" spans="1:12" ht="18.75" customHeight="1" x14ac:dyDescent="0.2">
      <c r="A28" s="136"/>
      <c r="B28" s="133"/>
      <c r="C28" s="135" t="b">
        <v>0</v>
      </c>
      <c r="D28" s="169"/>
      <c r="E28" s="142">
        <f>C169</f>
        <v>0</v>
      </c>
      <c r="F28" s="3"/>
      <c r="G28" s="3"/>
      <c r="H28" s="3"/>
      <c r="I28" s="3"/>
      <c r="J28" s="3"/>
      <c r="K28" s="3"/>
      <c r="L28" s="3"/>
    </row>
    <row r="29" spans="1:12" ht="18.75" customHeight="1" x14ac:dyDescent="0.2">
      <c r="A29" s="136"/>
      <c r="B29" s="133"/>
      <c r="C29" s="135" t="b">
        <v>0</v>
      </c>
      <c r="D29" s="169"/>
      <c r="E29" s="142">
        <f>C170</f>
        <v>0</v>
      </c>
      <c r="F29" s="3"/>
      <c r="G29" s="3"/>
      <c r="H29" s="3"/>
      <c r="I29" s="3"/>
      <c r="J29" s="3"/>
      <c r="K29" s="3"/>
      <c r="L29" s="3"/>
    </row>
    <row r="30" spans="1:12" ht="18.75" customHeight="1" thickBot="1" x14ac:dyDescent="0.25">
      <c r="A30" s="137"/>
      <c r="B30" s="138"/>
      <c r="C30" s="139" t="b">
        <v>0</v>
      </c>
      <c r="D30" s="169"/>
      <c r="E30" s="143">
        <f>C171</f>
        <v>0</v>
      </c>
      <c r="F30" s="3"/>
      <c r="G30" s="3"/>
      <c r="H30" s="3"/>
      <c r="I30" s="3"/>
      <c r="J30" s="3"/>
      <c r="K30" s="3"/>
      <c r="L30" s="3"/>
    </row>
    <row r="31" spans="1:12" ht="18.75" customHeight="1" thickBot="1" x14ac:dyDescent="0.25">
      <c r="A31" s="129"/>
      <c r="C31" s="130"/>
      <c r="E31" s="149">
        <f>C66+C82+C98+C114+C130+C146+C162+C172</f>
        <v>2806659.0655755363</v>
      </c>
      <c r="G31" s="148"/>
      <c r="H31" s="3"/>
      <c r="I31" s="3"/>
      <c r="J31" s="3"/>
      <c r="K31" s="3"/>
      <c r="L31" s="3"/>
    </row>
    <row r="32" spans="1:12" ht="18.75" customHeight="1" x14ac:dyDescent="0.2">
      <c r="A32" s="129"/>
      <c r="C32" s="130"/>
      <c r="D32" s="3"/>
      <c r="E32" s="134"/>
      <c r="F32" s="3"/>
      <c r="G32" s="3"/>
      <c r="H32" s="3"/>
      <c r="I32" s="3"/>
      <c r="J32" s="3"/>
      <c r="K32" s="3"/>
      <c r="L32" s="3"/>
    </row>
    <row r="33" spans="1:12" ht="18" customHeight="1" thickBot="1" x14ac:dyDescent="0.25">
      <c r="A33" s="87"/>
      <c r="B33" s="87"/>
      <c r="C33" s="87"/>
      <c r="D33" s="87"/>
      <c r="E33" s="87"/>
      <c r="F33" s="87"/>
      <c r="G33" s="3"/>
      <c r="H33" s="3"/>
      <c r="I33" s="3"/>
      <c r="J33" s="3"/>
      <c r="K33" s="3"/>
      <c r="L33" s="3"/>
    </row>
    <row r="34" spans="1:12" ht="18" customHeight="1" thickTop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9.5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39.950000000000003" customHeight="1" x14ac:dyDescent="0.2">
      <c r="A36" s="168" t="s">
        <v>137</v>
      </c>
      <c r="B36" s="168"/>
      <c r="C36" s="73"/>
      <c r="D36" s="74"/>
      <c r="E36" s="73"/>
      <c r="F36" s="73"/>
      <c r="G36" s="3"/>
      <c r="H36" s="3"/>
      <c r="I36" s="3"/>
      <c r="J36" s="3"/>
      <c r="K36" s="3"/>
      <c r="L36" s="3"/>
    </row>
    <row r="37" spans="1:12" ht="19.5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30" customHeight="1" x14ac:dyDescent="0.2">
      <c r="A38" s="88" t="s">
        <v>0</v>
      </c>
      <c r="B38" s="88"/>
      <c r="C38" s="88"/>
      <c r="D38" s="47"/>
      <c r="E38" s="47"/>
      <c r="F38" s="47"/>
      <c r="G38" s="3"/>
      <c r="H38" s="3"/>
      <c r="I38" s="3"/>
      <c r="J38" s="3"/>
      <c r="K38" s="3"/>
      <c r="L38" s="3"/>
    </row>
    <row r="39" spans="1:12" ht="28.5" x14ac:dyDescent="0.2">
      <c r="A39" s="9" t="s">
        <v>2</v>
      </c>
      <c r="B39" s="9" t="s">
        <v>3</v>
      </c>
      <c r="C39" s="67" t="s">
        <v>88</v>
      </c>
      <c r="D39" s="67" t="s">
        <v>102</v>
      </c>
      <c r="E39" s="9" t="s">
        <v>4</v>
      </c>
      <c r="F39" s="67" t="s">
        <v>89</v>
      </c>
      <c r="G39" s="3"/>
      <c r="H39" s="3"/>
      <c r="I39" s="3"/>
      <c r="J39" s="3"/>
      <c r="K39" s="3"/>
      <c r="L39" s="3"/>
    </row>
    <row r="40" spans="1:12" x14ac:dyDescent="0.2">
      <c r="A40" s="89" t="s">
        <v>126</v>
      </c>
      <c r="B40" s="1" t="s">
        <v>111</v>
      </c>
      <c r="C40" s="2">
        <v>15000</v>
      </c>
      <c r="D40" s="12">
        <f>C40*$C$7</f>
        <v>63000</v>
      </c>
      <c r="E40" s="1" t="s">
        <v>43</v>
      </c>
      <c r="F40" s="91">
        <v>35000</v>
      </c>
      <c r="G40" s="3"/>
      <c r="H40" s="3"/>
      <c r="I40" s="3"/>
      <c r="J40" s="3"/>
      <c r="K40" s="3"/>
      <c r="L40" s="3"/>
    </row>
    <row r="41" spans="1:12" x14ac:dyDescent="0.2">
      <c r="A41" s="89" t="s">
        <v>127</v>
      </c>
      <c r="B41" s="1" t="s">
        <v>112</v>
      </c>
      <c r="C41" s="2">
        <v>18000</v>
      </c>
      <c r="D41" s="12">
        <f t="shared" ref="D41:D46" si="0">C41*$C$7</f>
        <v>75600</v>
      </c>
      <c r="E41" s="1" t="s">
        <v>5</v>
      </c>
      <c r="F41" s="91">
        <v>40000</v>
      </c>
      <c r="G41" s="3"/>
      <c r="H41" s="3"/>
      <c r="I41" s="3"/>
      <c r="J41" s="3"/>
      <c r="K41" s="3"/>
      <c r="L41" s="3"/>
    </row>
    <row r="42" spans="1:12" x14ac:dyDescent="0.2">
      <c r="A42" s="89" t="s">
        <v>128</v>
      </c>
      <c r="B42" s="1" t="s">
        <v>113</v>
      </c>
      <c r="C42" s="2">
        <v>22000</v>
      </c>
      <c r="D42" s="12">
        <f t="shared" si="0"/>
        <v>92400</v>
      </c>
      <c r="E42" s="1" t="s">
        <v>118</v>
      </c>
      <c r="F42" s="91">
        <v>48000</v>
      </c>
      <c r="G42" s="3"/>
      <c r="H42" s="3"/>
      <c r="I42" s="3"/>
      <c r="J42" s="3"/>
      <c r="K42" s="3"/>
      <c r="L42" s="3"/>
    </row>
    <row r="43" spans="1:12" x14ac:dyDescent="0.2">
      <c r="A43" s="89" t="s">
        <v>129</v>
      </c>
      <c r="B43" s="1" t="s">
        <v>114</v>
      </c>
      <c r="C43" s="2">
        <v>25000</v>
      </c>
      <c r="D43" s="12">
        <f t="shared" si="0"/>
        <v>105000</v>
      </c>
      <c r="E43" s="1" t="s">
        <v>118</v>
      </c>
      <c r="F43" s="91">
        <v>55000</v>
      </c>
      <c r="G43" s="3"/>
      <c r="H43" s="3"/>
      <c r="I43" s="3"/>
      <c r="J43" s="3"/>
      <c r="K43" s="3"/>
      <c r="L43" s="3"/>
    </row>
    <row r="44" spans="1:12" x14ac:dyDescent="0.2">
      <c r="A44" s="89" t="s">
        <v>130</v>
      </c>
      <c r="B44" s="1" t="s">
        <v>115</v>
      </c>
      <c r="C44" s="2">
        <v>35000</v>
      </c>
      <c r="D44" s="12">
        <f t="shared" si="0"/>
        <v>147000</v>
      </c>
      <c r="E44" s="1" t="s">
        <v>6</v>
      </c>
      <c r="F44" s="91">
        <v>75000</v>
      </c>
      <c r="G44" s="3"/>
      <c r="H44" s="3"/>
      <c r="I44" s="3"/>
      <c r="J44" s="3"/>
      <c r="K44" s="3"/>
      <c r="L44" s="3"/>
    </row>
    <row r="45" spans="1:12" x14ac:dyDescent="0.2">
      <c r="A45" s="89" t="s">
        <v>131</v>
      </c>
      <c r="B45" s="1" t="s">
        <v>116</v>
      </c>
      <c r="C45" s="2">
        <v>10000</v>
      </c>
      <c r="D45" s="12">
        <f t="shared" si="0"/>
        <v>42000</v>
      </c>
      <c r="E45" s="1" t="s">
        <v>6</v>
      </c>
      <c r="F45" s="91">
        <v>50000</v>
      </c>
      <c r="G45" s="3"/>
      <c r="H45" s="3"/>
      <c r="I45" s="3"/>
      <c r="J45" s="3"/>
      <c r="K45" s="3"/>
      <c r="L45" s="3"/>
    </row>
    <row r="46" spans="1:12" x14ac:dyDescent="0.2">
      <c r="A46" s="89" t="s">
        <v>132</v>
      </c>
      <c r="B46" s="1" t="s">
        <v>1</v>
      </c>
      <c r="C46" s="2">
        <v>10000</v>
      </c>
      <c r="D46" s="12">
        <f t="shared" si="0"/>
        <v>42000</v>
      </c>
      <c r="E46" s="1"/>
      <c r="F46" s="91">
        <v>25000</v>
      </c>
      <c r="G46" s="3"/>
      <c r="H46" s="3"/>
      <c r="I46" s="3"/>
      <c r="J46" s="3"/>
      <c r="K46" s="3"/>
      <c r="L46" s="3"/>
    </row>
    <row r="47" spans="1:12" x14ac:dyDescent="0.2">
      <c r="A47" s="89" t="s">
        <v>133</v>
      </c>
      <c r="B47" s="1" t="s">
        <v>117</v>
      </c>
      <c r="C47" s="2"/>
      <c r="D47" s="12"/>
      <c r="E47" s="70" t="s">
        <v>146</v>
      </c>
      <c r="F47" s="155" t="s">
        <v>158</v>
      </c>
      <c r="G47" s="3"/>
      <c r="H47" s="3"/>
      <c r="I47" s="3"/>
      <c r="J47" s="3"/>
      <c r="K47" s="3"/>
      <c r="L47" s="3"/>
    </row>
    <row r="48" spans="1:12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20.25" customHeight="1" x14ac:dyDescent="0.2">
      <c r="B49" s="3"/>
      <c r="C49" s="3"/>
      <c r="D49" s="16"/>
      <c r="E49" s="3"/>
      <c r="F49" s="3"/>
      <c r="G49" s="3"/>
      <c r="H49" s="3"/>
      <c r="I49" s="3"/>
      <c r="J49" s="3"/>
      <c r="K49" s="3"/>
      <c r="L49" s="3"/>
    </row>
    <row r="50" spans="1:12" x14ac:dyDescent="0.2">
      <c r="B50" s="3"/>
      <c r="C50" s="3"/>
      <c r="D50" s="3"/>
      <c r="F50" s="3"/>
      <c r="G50" s="3"/>
      <c r="H50" s="3"/>
      <c r="I50" s="3"/>
      <c r="J50" s="3"/>
      <c r="K50" s="3"/>
      <c r="L50" s="3"/>
    </row>
    <row r="51" spans="1:12" ht="30" customHeight="1" x14ac:dyDescent="0.2">
      <c r="A51" s="164" t="s">
        <v>63</v>
      </c>
      <c r="B51" s="164"/>
      <c r="C51" s="164"/>
      <c r="D51" s="47"/>
      <c r="E51" s="47"/>
      <c r="F51" s="47"/>
      <c r="G51" s="3"/>
      <c r="H51" s="3"/>
      <c r="I51" s="3"/>
      <c r="J51" s="3"/>
      <c r="K51" s="3"/>
      <c r="L51" s="3"/>
    </row>
    <row r="52" spans="1:12" ht="15" thickBot="1" x14ac:dyDescent="0.25">
      <c r="B52" s="3"/>
      <c r="C52" s="3"/>
      <c r="D52" s="3"/>
      <c r="E52" s="3"/>
      <c r="F52" s="3"/>
      <c r="G52" s="3"/>
      <c r="H52" s="3"/>
      <c r="I52" s="3"/>
      <c r="J52" s="3"/>
      <c r="K52" s="3" t="s">
        <v>24</v>
      </c>
      <c r="L52" s="3"/>
    </row>
    <row r="53" spans="1:12" x14ac:dyDescent="0.2">
      <c r="A53" s="162" t="str">
        <f>A20</f>
        <v>#1</v>
      </c>
      <c r="B53" s="160" t="s">
        <v>125</v>
      </c>
      <c r="C53" s="161"/>
      <c r="D53" s="3"/>
      <c r="E53" s="3"/>
      <c r="F53" s="3"/>
      <c r="G53" s="3"/>
      <c r="H53" s="3"/>
      <c r="I53" s="3"/>
      <c r="J53" s="3"/>
      <c r="K53" s="3"/>
      <c r="L53" s="3"/>
    </row>
    <row r="54" spans="1:12" ht="15" thickBot="1" x14ac:dyDescent="0.25">
      <c r="A54" s="163"/>
      <c r="B54" s="84" t="s">
        <v>139</v>
      </c>
      <c r="C54" s="90">
        <f>VLOOKUP(A53,$A$20:$C$27,3,TRUE)</f>
        <v>0</v>
      </c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2">
      <c r="A55" s="92" t="s">
        <v>90</v>
      </c>
      <c r="B55" s="93" t="s">
        <v>3</v>
      </c>
      <c r="C55" s="94" t="s">
        <v>27</v>
      </c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2">
      <c r="A56" s="95" t="s">
        <v>91</v>
      </c>
      <c r="B56" s="8" t="s">
        <v>134</v>
      </c>
      <c r="C56" s="96">
        <f>VLOOKUP(A53,$A$39:$F$47,4,TRUE)</f>
        <v>63000</v>
      </c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2">
      <c r="A57" s="97" t="s">
        <v>95</v>
      </c>
      <c r="B57" s="1" t="s">
        <v>52</v>
      </c>
      <c r="C57" s="98">
        <f>1.1^($C$13)</f>
        <v>8.140274938683989</v>
      </c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2">
      <c r="A58" s="97" t="s">
        <v>96</v>
      </c>
      <c r="B58" s="1" t="s">
        <v>28</v>
      </c>
      <c r="C58" s="98">
        <f>IF($C$14="כן",1.1,1)</f>
        <v>1.1000000000000001</v>
      </c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2">
      <c r="A59" s="97" t="s">
        <v>97</v>
      </c>
      <c r="B59" s="1" t="s">
        <v>29</v>
      </c>
      <c r="C59" s="98">
        <f>IF($C$15="כן",1.1,1)</f>
        <v>1.1000000000000001</v>
      </c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">
      <c r="A60" s="97" t="s">
        <v>98</v>
      </c>
      <c r="B60" s="1" t="s">
        <v>44</v>
      </c>
      <c r="C60" s="98">
        <f>IF($C$16="כן",1.1,1)</f>
        <v>1.1000000000000001</v>
      </c>
      <c r="D60" s="3"/>
      <c r="E60" s="3"/>
      <c r="F60" s="3"/>
      <c r="G60" s="3"/>
      <c r="H60" s="3"/>
      <c r="I60" s="3"/>
      <c r="J60" s="3"/>
      <c r="K60" s="3"/>
      <c r="L60" s="3"/>
    </row>
    <row r="61" spans="1:12" x14ac:dyDescent="0.2">
      <c r="A61" s="97" t="s">
        <v>99</v>
      </c>
      <c r="B61" s="1" t="s">
        <v>45</v>
      </c>
      <c r="C61" s="98">
        <f>IF($C$17="כן",1.1,1)</f>
        <v>1.1000000000000001</v>
      </c>
      <c r="D61" s="3"/>
      <c r="E61" s="3"/>
      <c r="F61" s="3"/>
      <c r="G61" s="3"/>
      <c r="H61" s="3"/>
      <c r="I61" s="3"/>
      <c r="J61" s="3"/>
      <c r="K61" s="3"/>
      <c r="L61" s="3"/>
    </row>
    <row r="62" spans="1:12" x14ac:dyDescent="0.2">
      <c r="A62" s="97" t="s">
        <v>105</v>
      </c>
      <c r="B62" s="1" t="s">
        <v>104</v>
      </c>
      <c r="C62" s="98">
        <f>$C$5</f>
        <v>1</v>
      </c>
      <c r="D62" s="3"/>
      <c r="E62" s="3"/>
      <c r="F62" s="3"/>
      <c r="G62" s="3"/>
      <c r="H62" s="3"/>
      <c r="I62" s="3"/>
      <c r="J62" s="3"/>
      <c r="K62" s="3"/>
      <c r="L62" s="3"/>
    </row>
    <row r="63" spans="1:12" x14ac:dyDescent="0.2">
      <c r="A63" s="99"/>
      <c r="B63" s="13" t="s">
        <v>106</v>
      </c>
      <c r="C63" s="100">
        <f>C57*C58*C59*C60*C61*C62</f>
        <v>11.918176537727231</v>
      </c>
      <c r="D63" s="3"/>
      <c r="E63" s="3"/>
      <c r="F63" s="3"/>
      <c r="G63" s="3"/>
      <c r="H63" s="3"/>
      <c r="I63" s="3"/>
      <c r="J63" s="3"/>
      <c r="K63" s="3"/>
      <c r="L63" s="3"/>
    </row>
    <row r="64" spans="1:12" x14ac:dyDescent="0.2">
      <c r="A64" s="99" t="s">
        <v>135</v>
      </c>
      <c r="B64" s="13" t="s">
        <v>136</v>
      </c>
      <c r="C64" s="101">
        <f>$C$8</f>
        <v>0.89</v>
      </c>
      <c r="D64" s="3"/>
      <c r="E64" s="3"/>
      <c r="F64" s="3"/>
      <c r="G64" s="3"/>
      <c r="H64" s="3"/>
      <c r="I64" s="3"/>
      <c r="J64" s="3"/>
      <c r="K64" s="3"/>
      <c r="L64" s="3"/>
    </row>
    <row r="65" spans="1:12" ht="15" thickBot="1" x14ac:dyDescent="0.25">
      <c r="A65" s="102" t="s">
        <v>101</v>
      </c>
      <c r="B65" s="103" t="s">
        <v>30</v>
      </c>
      <c r="C65" s="104">
        <f>C56*C63*C64</f>
        <v>668252.15847036592</v>
      </c>
      <c r="D65" s="3"/>
      <c r="E65" s="3"/>
      <c r="F65" s="3"/>
      <c r="G65" s="3"/>
      <c r="H65" s="3"/>
      <c r="I65" s="3"/>
      <c r="J65" s="3"/>
      <c r="K65" s="3"/>
      <c r="L65" s="3"/>
    </row>
    <row r="66" spans="1:12" ht="15" thickBot="1" x14ac:dyDescent="0.25">
      <c r="A66" s="105"/>
      <c r="B66" s="106" t="s">
        <v>32</v>
      </c>
      <c r="C66" s="107">
        <f>IF(C54=0,0,MAX(C65*C54,VLOOKUP(A53,$A$40:$F$47,6,TRUE)))</f>
        <v>0</v>
      </c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5" thickBot="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">
      <c r="A69" s="162" t="str">
        <f>A21</f>
        <v>#2</v>
      </c>
      <c r="B69" s="160" t="s">
        <v>138</v>
      </c>
      <c r="C69" s="161"/>
      <c r="D69" s="3"/>
      <c r="E69" s="3"/>
      <c r="F69" s="3"/>
      <c r="G69" s="3"/>
      <c r="H69" s="3"/>
      <c r="I69" s="3"/>
      <c r="J69" s="3"/>
      <c r="K69" s="3"/>
      <c r="L69" s="3"/>
    </row>
    <row r="70" spans="1:12" ht="15" thickBot="1" x14ac:dyDescent="0.25">
      <c r="A70" s="163"/>
      <c r="B70" s="84" t="s">
        <v>139</v>
      </c>
      <c r="C70" s="90">
        <f>VLOOKUP(A69,$A$20:$C$27,3,TRUE)</f>
        <v>1</v>
      </c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">
      <c r="A71" s="92" t="s">
        <v>90</v>
      </c>
      <c r="B71" s="93" t="s">
        <v>3</v>
      </c>
      <c r="C71" s="94" t="s">
        <v>27</v>
      </c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">
      <c r="A72" s="95" t="s">
        <v>91</v>
      </c>
      <c r="B72" s="8" t="s">
        <v>31</v>
      </c>
      <c r="C72" s="96">
        <f>VLOOKUP(A69,$A$39:$F$47,4,TRUE)</f>
        <v>75600</v>
      </c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">
      <c r="A73" s="97" t="s">
        <v>95</v>
      </c>
      <c r="B73" s="1" t="s">
        <v>52</v>
      </c>
      <c r="C73" s="98">
        <f>1.1^($C$13)</f>
        <v>8.140274938683989</v>
      </c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">
      <c r="A74" s="97" t="s">
        <v>96</v>
      </c>
      <c r="B74" s="1" t="s">
        <v>28</v>
      </c>
      <c r="C74" s="98">
        <f>IF($C$14=$T$1,1.1,1)</f>
        <v>1.1000000000000001</v>
      </c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">
      <c r="A75" s="97" t="s">
        <v>97</v>
      </c>
      <c r="B75" s="1" t="s">
        <v>29</v>
      </c>
      <c r="C75" s="98">
        <f>IF($C$15=$T$1,1.1,1)</f>
        <v>1.1000000000000001</v>
      </c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">
      <c r="A76" s="97" t="s">
        <v>98</v>
      </c>
      <c r="B76" s="1" t="s">
        <v>44</v>
      </c>
      <c r="C76" s="98">
        <f>IF($C$16=$T$1,1.1,1)</f>
        <v>1.1000000000000001</v>
      </c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">
      <c r="A77" s="97" t="s">
        <v>99</v>
      </c>
      <c r="B77" s="1" t="s">
        <v>45</v>
      </c>
      <c r="C77" s="98">
        <f>IF($C$17=$T$1,1.1,1)</f>
        <v>1.1000000000000001</v>
      </c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">
      <c r="A78" s="97" t="s">
        <v>105</v>
      </c>
      <c r="B78" s="1" t="s">
        <v>104</v>
      </c>
      <c r="C78" s="98">
        <f>$C$5</f>
        <v>1</v>
      </c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">
      <c r="A79" s="99"/>
      <c r="B79" s="13" t="s">
        <v>106</v>
      </c>
      <c r="C79" s="100">
        <f>C73*C74*C75*C76*C77*C78</f>
        <v>11.918176537727231</v>
      </c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">
      <c r="A80" s="99" t="s">
        <v>100</v>
      </c>
      <c r="B80" s="13" t="s">
        <v>136</v>
      </c>
      <c r="C80" s="101">
        <f>$C$8</f>
        <v>0.89</v>
      </c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">
      <c r="A81" s="95" t="s">
        <v>101</v>
      </c>
      <c r="B81" s="8" t="s">
        <v>30</v>
      </c>
      <c r="C81" s="108">
        <f>C72*C79*C80</f>
        <v>801902.59016443894</v>
      </c>
      <c r="D81" s="3"/>
      <c r="E81" s="3"/>
      <c r="F81" s="3"/>
      <c r="G81" s="3"/>
      <c r="H81" s="3"/>
      <c r="I81" s="3"/>
      <c r="J81" s="3"/>
      <c r="K81" s="3"/>
      <c r="L81" s="3"/>
    </row>
    <row r="82" spans="1:12" ht="15" thickBot="1" x14ac:dyDescent="0.25">
      <c r="A82" s="109"/>
      <c r="B82" s="110" t="s">
        <v>32</v>
      </c>
      <c r="C82" s="107">
        <f>IF(C70=0,0,MAX(C81*C70,VLOOKUP(A69,$A$40:$F$47,6,TRUE)))</f>
        <v>801902.59016443894</v>
      </c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" thickBot="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x14ac:dyDescent="0.2">
      <c r="A85" s="162" t="str">
        <f>A22</f>
        <v>#3</v>
      </c>
      <c r="B85" s="160" t="s">
        <v>140</v>
      </c>
      <c r="C85" s="161"/>
      <c r="D85" s="3"/>
      <c r="E85" s="3"/>
      <c r="F85" s="3"/>
      <c r="G85" s="3"/>
      <c r="H85" s="3"/>
      <c r="I85" s="3"/>
      <c r="J85" s="3"/>
      <c r="K85" s="3"/>
      <c r="L85" s="3"/>
    </row>
    <row r="86" spans="1:12" ht="15" thickBot="1" x14ac:dyDescent="0.25">
      <c r="A86" s="163"/>
      <c r="B86" s="84" t="s">
        <v>139</v>
      </c>
      <c r="C86" s="90">
        <f>VLOOKUP(A85,$A$20:$C$27,3,TRUE)</f>
        <v>0</v>
      </c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2">
      <c r="A87" s="92" t="s">
        <v>90</v>
      </c>
      <c r="B87" s="93" t="s">
        <v>3</v>
      </c>
      <c r="C87" s="94" t="s">
        <v>27</v>
      </c>
      <c r="D87" s="3"/>
      <c r="E87" s="3"/>
      <c r="F87" s="3"/>
      <c r="G87" s="3"/>
      <c r="H87" s="3"/>
      <c r="I87" s="3"/>
      <c r="J87" s="3"/>
      <c r="K87" s="3"/>
      <c r="L87" s="3"/>
    </row>
    <row r="88" spans="1:12" x14ac:dyDescent="0.2">
      <c r="A88" s="95" t="s">
        <v>91</v>
      </c>
      <c r="B88" s="8" t="s">
        <v>31</v>
      </c>
      <c r="C88" s="96">
        <f>VLOOKUP(A85,$A$39:$F$47,4,TRUE)</f>
        <v>92400</v>
      </c>
      <c r="D88" s="3"/>
      <c r="E88" s="3"/>
      <c r="F88" s="3"/>
      <c r="G88" s="3"/>
      <c r="H88" s="3"/>
      <c r="I88" s="3"/>
      <c r="J88" s="3"/>
      <c r="K88" s="3"/>
      <c r="L88" s="3"/>
    </row>
    <row r="89" spans="1:12" x14ac:dyDescent="0.2">
      <c r="A89" s="97" t="s">
        <v>95</v>
      </c>
      <c r="B89" s="1" t="s">
        <v>52</v>
      </c>
      <c r="C89" s="98">
        <f>1.1^($C$13)</f>
        <v>8.140274938683989</v>
      </c>
      <c r="D89" s="3"/>
      <c r="E89" s="3"/>
      <c r="F89" s="3"/>
      <c r="G89" s="3"/>
      <c r="H89" s="3"/>
      <c r="I89" s="3"/>
      <c r="J89" s="3"/>
      <c r="K89" s="3"/>
      <c r="L89" s="3"/>
    </row>
    <row r="90" spans="1:12" x14ac:dyDescent="0.2">
      <c r="A90" s="97" t="s">
        <v>96</v>
      </c>
      <c r="B90" s="1" t="s">
        <v>28</v>
      </c>
      <c r="C90" s="98">
        <f>IF($C$14=$T$1,1.1,1)</f>
        <v>1.1000000000000001</v>
      </c>
      <c r="D90" s="3"/>
      <c r="E90" s="3"/>
      <c r="F90" s="3"/>
      <c r="G90" s="3"/>
      <c r="H90" s="3"/>
      <c r="I90" s="3"/>
      <c r="J90" s="3"/>
      <c r="K90" s="3"/>
      <c r="L90" s="3"/>
    </row>
    <row r="91" spans="1:12" x14ac:dyDescent="0.2">
      <c r="A91" s="97" t="s">
        <v>97</v>
      </c>
      <c r="B91" s="1" t="s">
        <v>29</v>
      </c>
      <c r="C91" s="98">
        <f>IF($C$15=$T$1,1.1,1)</f>
        <v>1.1000000000000001</v>
      </c>
      <c r="D91" s="3"/>
      <c r="E91" s="3"/>
      <c r="F91" s="3"/>
      <c r="G91" s="3"/>
      <c r="H91" s="3"/>
      <c r="I91" s="3"/>
      <c r="J91" s="3"/>
      <c r="K91" s="3"/>
      <c r="L91" s="3"/>
    </row>
    <row r="92" spans="1:12" x14ac:dyDescent="0.2">
      <c r="A92" s="97" t="s">
        <v>98</v>
      </c>
      <c r="B92" s="1" t="s">
        <v>44</v>
      </c>
      <c r="C92" s="98">
        <f>IF($C$16=$T$1,1.1,1)</f>
        <v>1.1000000000000001</v>
      </c>
      <c r="D92" s="3"/>
      <c r="E92" s="3"/>
      <c r="F92" s="3"/>
      <c r="G92" s="3"/>
      <c r="H92" s="3"/>
      <c r="I92" s="3"/>
      <c r="J92" s="3"/>
      <c r="K92" s="3"/>
      <c r="L92" s="3"/>
    </row>
    <row r="93" spans="1:12" x14ac:dyDescent="0.2">
      <c r="A93" s="97" t="s">
        <v>99</v>
      </c>
      <c r="B93" s="1" t="s">
        <v>45</v>
      </c>
      <c r="C93" s="98">
        <f>IF($C$17=$T$1,1.1,1)</f>
        <v>1.1000000000000001</v>
      </c>
      <c r="D93" s="3"/>
      <c r="E93" s="3"/>
      <c r="F93" s="3"/>
      <c r="G93" s="3"/>
      <c r="H93" s="3"/>
      <c r="I93" s="3"/>
      <c r="J93" s="3"/>
      <c r="K93" s="3"/>
      <c r="L93" s="3"/>
    </row>
    <row r="94" spans="1:12" x14ac:dyDescent="0.2">
      <c r="A94" s="97" t="s">
        <v>105</v>
      </c>
      <c r="B94" s="1" t="s">
        <v>104</v>
      </c>
      <c r="C94" s="98">
        <f>$C$5</f>
        <v>1</v>
      </c>
      <c r="D94" s="3"/>
      <c r="E94" s="3"/>
      <c r="F94" s="3"/>
      <c r="G94" s="3"/>
      <c r="H94" s="3"/>
      <c r="I94" s="3"/>
      <c r="J94" s="3"/>
      <c r="K94" s="3"/>
      <c r="L94" s="3"/>
    </row>
    <row r="95" spans="1:12" x14ac:dyDescent="0.2">
      <c r="A95" s="99"/>
      <c r="B95" s="13" t="s">
        <v>106</v>
      </c>
      <c r="C95" s="100">
        <f>C89*C90*C91*C92*C93*C94</f>
        <v>11.918176537727231</v>
      </c>
      <c r="D95" s="3"/>
      <c r="E95" s="3"/>
      <c r="F95" s="3"/>
      <c r="G95" s="3"/>
      <c r="H95" s="3"/>
      <c r="I95" s="3"/>
      <c r="J95" s="3"/>
      <c r="K95" s="3"/>
      <c r="L95" s="3"/>
    </row>
    <row r="96" spans="1:12" x14ac:dyDescent="0.2">
      <c r="A96" s="99" t="s">
        <v>100</v>
      </c>
      <c r="B96" s="13" t="s">
        <v>136</v>
      </c>
      <c r="C96" s="101">
        <f>$C$8</f>
        <v>0.89</v>
      </c>
      <c r="D96" s="3"/>
      <c r="E96" s="3"/>
      <c r="F96" s="3"/>
      <c r="G96" s="3"/>
      <c r="H96" s="3"/>
      <c r="I96" s="3"/>
      <c r="J96" s="3"/>
      <c r="K96" s="3"/>
      <c r="L96" s="3"/>
    </row>
    <row r="97" spans="1:12" x14ac:dyDescent="0.2">
      <c r="A97" s="95" t="s">
        <v>101</v>
      </c>
      <c r="B97" s="8" t="s">
        <v>30</v>
      </c>
      <c r="C97" s="108">
        <f>C88*C95*C96</f>
        <v>980103.16575653653</v>
      </c>
      <c r="D97" s="3"/>
      <c r="E97" s="3"/>
      <c r="F97" s="3"/>
      <c r="G97" s="3"/>
      <c r="H97" s="3"/>
      <c r="I97" s="3"/>
      <c r="J97" s="3"/>
      <c r="K97" s="3"/>
      <c r="L97" s="3"/>
    </row>
    <row r="98" spans="1:12" ht="15" thickBot="1" x14ac:dyDescent="0.25">
      <c r="A98" s="109"/>
      <c r="B98" s="110" t="s">
        <v>32</v>
      </c>
      <c r="C98" s="107">
        <f>IF(C86=0,0,MAX(C97*C86,VLOOKUP(A85,$A$40:$F$47,6,TRUE)))</f>
        <v>0</v>
      </c>
      <c r="D98" s="3"/>
      <c r="E98" s="3"/>
      <c r="F98" s="3"/>
      <c r="G98" s="3"/>
      <c r="H98" s="3"/>
      <c r="I98" s="3"/>
      <c r="J98" s="3"/>
      <c r="K98" s="3"/>
      <c r="L98" s="3"/>
    </row>
    <row r="99" spans="1:12" x14ac:dyDescent="0.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" thickBot="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x14ac:dyDescent="0.2">
      <c r="A101" s="162" t="str">
        <f>A23</f>
        <v>#4</v>
      </c>
      <c r="B101" s="160" t="s">
        <v>141</v>
      </c>
      <c r="C101" s="16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5" thickBot="1" x14ac:dyDescent="0.25">
      <c r="A102" s="163"/>
      <c r="B102" s="84" t="s">
        <v>139</v>
      </c>
      <c r="C102" s="90">
        <f>VLOOKUP(A101,$A$20:$C$27,3,TRUE)</f>
        <v>0</v>
      </c>
      <c r="D102" s="3"/>
      <c r="E102" s="3"/>
      <c r="F102" s="3"/>
      <c r="G102" s="3"/>
      <c r="H102" s="3"/>
      <c r="I102" s="3"/>
      <c r="J102" s="3"/>
      <c r="K102" s="3"/>
      <c r="L102" s="3"/>
    </row>
    <row r="103" spans="1:12" x14ac:dyDescent="0.2">
      <c r="A103" s="92" t="s">
        <v>90</v>
      </c>
      <c r="B103" s="93" t="s">
        <v>3</v>
      </c>
      <c r="C103" s="94" t="s">
        <v>27</v>
      </c>
      <c r="D103" s="3"/>
      <c r="E103" s="3"/>
      <c r="F103" s="3"/>
      <c r="G103" s="3"/>
      <c r="H103" s="3"/>
      <c r="I103" s="3"/>
      <c r="J103" s="3"/>
      <c r="K103" s="3"/>
      <c r="L103" s="3"/>
    </row>
    <row r="104" spans="1:12" x14ac:dyDescent="0.2">
      <c r="A104" s="95" t="s">
        <v>91</v>
      </c>
      <c r="B104" s="8" t="s">
        <v>31</v>
      </c>
      <c r="C104" s="96">
        <f>VLOOKUP(A101,$A$39:$F$47,4,TRUE)</f>
        <v>105000</v>
      </c>
      <c r="D104" s="3"/>
      <c r="E104" s="3"/>
      <c r="F104" s="3"/>
      <c r="G104" s="3"/>
      <c r="H104" s="3"/>
      <c r="I104" s="3"/>
      <c r="J104" s="3"/>
      <c r="K104" s="3"/>
      <c r="L104" s="3"/>
    </row>
    <row r="105" spans="1:12" x14ac:dyDescent="0.2">
      <c r="A105" s="97" t="s">
        <v>95</v>
      </c>
      <c r="B105" s="1" t="s">
        <v>52</v>
      </c>
      <c r="C105" s="98">
        <f>1.1^($C$13)</f>
        <v>8.140274938683989</v>
      </c>
      <c r="D105" s="3"/>
      <c r="E105" s="3"/>
      <c r="F105" s="3"/>
      <c r="G105" s="3"/>
      <c r="H105" s="3"/>
      <c r="I105" s="3"/>
      <c r="J105" s="3"/>
      <c r="K105" s="3"/>
      <c r="L105" s="3"/>
    </row>
    <row r="106" spans="1:12" x14ac:dyDescent="0.2">
      <c r="A106" s="97" t="s">
        <v>96</v>
      </c>
      <c r="B106" s="1" t="s">
        <v>28</v>
      </c>
      <c r="C106" s="98">
        <f>IF($C$14=$T$1,1.1,1)</f>
        <v>1.1000000000000001</v>
      </c>
      <c r="D106" s="3"/>
      <c r="E106" s="3"/>
      <c r="F106" s="3"/>
      <c r="G106" s="3"/>
      <c r="H106" s="3"/>
      <c r="I106" s="3"/>
      <c r="J106" s="3"/>
      <c r="K106" s="3"/>
      <c r="L106" s="3"/>
    </row>
    <row r="107" spans="1:12" x14ac:dyDescent="0.2">
      <c r="A107" s="97" t="s">
        <v>97</v>
      </c>
      <c r="B107" s="1" t="s">
        <v>29</v>
      </c>
      <c r="C107" s="98">
        <f>IF($C$15=$T$1,1.1,1)</f>
        <v>1.1000000000000001</v>
      </c>
      <c r="D107" s="3"/>
      <c r="E107" s="3"/>
      <c r="F107" s="3"/>
      <c r="G107" s="3"/>
      <c r="H107" s="3"/>
      <c r="I107" s="3"/>
      <c r="J107" s="3"/>
      <c r="K107" s="3"/>
      <c r="L107" s="3"/>
    </row>
    <row r="108" spans="1:12" x14ac:dyDescent="0.2">
      <c r="A108" s="97" t="s">
        <v>98</v>
      </c>
      <c r="B108" s="1" t="s">
        <v>44</v>
      </c>
      <c r="C108" s="98">
        <f>IF($C$16=$T$1,1.1,1)</f>
        <v>1.1000000000000001</v>
      </c>
      <c r="D108" s="3"/>
      <c r="E108" s="3"/>
      <c r="F108" s="3"/>
      <c r="G108" s="3"/>
      <c r="H108" s="3"/>
      <c r="I108" s="3"/>
      <c r="J108" s="3"/>
      <c r="K108" s="3"/>
      <c r="L108" s="3"/>
    </row>
    <row r="109" spans="1:12" x14ac:dyDescent="0.2">
      <c r="A109" s="97" t="s">
        <v>99</v>
      </c>
      <c r="B109" s="1" t="s">
        <v>45</v>
      </c>
      <c r="C109" s="98">
        <f>IF($C$17=$T$1,1.1,1)</f>
        <v>1.1000000000000001</v>
      </c>
      <c r="D109" s="3"/>
      <c r="E109" s="3"/>
      <c r="F109" s="3"/>
      <c r="G109" s="3"/>
      <c r="H109" s="3"/>
      <c r="I109" s="3"/>
      <c r="J109" s="3"/>
      <c r="K109" s="3"/>
      <c r="L109" s="3"/>
    </row>
    <row r="110" spans="1:12" x14ac:dyDescent="0.2">
      <c r="A110" s="97" t="s">
        <v>105</v>
      </c>
      <c r="B110" s="1" t="s">
        <v>104</v>
      </c>
      <c r="C110" s="98">
        <f>$C$5</f>
        <v>1</v>
      </c>
      <c r="D110" s="3"/>
      <c r="E110" s="3"/>
      <c r="F110" s="3"/>
      <c r="G110" s="3"/>
      <c r="H110" s="3"/>
      <c r="I110" s="3"/>
      <c r="J110" s="3"/>
      <c r="K110" s="3"/>
      <c r="L110" s="3"/>
    </row>
    <row r="111" spans="1:12" x14ac:dyDescent="0.2">
      <c r="A111" s="99"/>
      <c r="B111" s="13" t="s">
        <v>106</v>
      </c>
      <c r="C111" s="100">
        <f>C105*C106*C107*C108*C109*C110</f>
        <v>11.918176537727231</v>
      </c>
      <c r="D111" s="3"/>
      <c r="E111" s="3"/>
      <c r="F111" s="3"/>
      <c r="G111" s="3"/>
      <c r="H111" s="3"/>
      <c r="I111" s="3"/>
      <c r="J111" s="3"/>
      <c r="K111" s="3"/>
      <c r="L111" s="3"/>
    </row>
    <row r="112" spans="1:12" x14ac:dyDescent="0.2">
      <c r="A112" s="99" t="s">
        <v>100</v>
      </c>
      <c r="B112" s="13" t="s">
        <v>136</v>
      </c>
      <c r="C112" s="101">
        <f>$C$8</f>
        <v>0.89</v>
      </c>
      <c r="D112" s="3"/>
      <c r="E112" s="3"/>
      <c r="F112" s="3"/>
      <c r="G112" s="3"/>
      <c r="H112" s="3"/>
      <c r="I112" s="3"/>
      <c r="J112" s="3"/>
      <c r="K112" s="3"/>
      <c r="L112" s="3"/>
    </row>
    <row r="113" spans="1:12" x14ac:dyDescent="0.2">
      <c r="A113" s="95" t="s">
        <v>101</v>
      </c>
      <c r="B113" s="8" t="s">
        <v>30</v>
      </c>
      <c r="C113" s="108">
        <f>C104*C111*C112</f>
        <v>1113753.5974506096</v>
      </c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" thickBot="1" x14ac:dyDescent="0.25">
      <c r="A114" s="109"/>
      <c r="B114" s="110" t="s">
        <v>32</v>
      </c>
      <c r="C114" s="107">
        <f>IF(C102=0,0,MAX(C113*C102,VLOOKUP(A101,$A$40:$F$47,6,TRUE)))</f>
        <v>0</v>
      </c>
      <c r="D114" s="3"/>
      <c r="E114" s="3"/>
      <c r="F114" s="3"/>
      <c r="G114" s="3"/>
      <c r="H114" s="3"/>
      <c r="I114" s="3"/>
      <c r="J114" s="3"/>
      <c r="K114" s="3"/>
      <c r="L114" s="3"/>
    </row>
    <row r="115" spans="1:12" x14ac:dyDescent="0.2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5" thickBot="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x14ac:dyDescent="0.2">
      <c r="A117" s="162" t="str">
        <f>A24</f>
        <v>#5</v>
      </c>
      <c r="B117" s="160" t="s">
        <v>142</v>
      </c>
      <c r="C117" s="161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5" thickBot="1" x14ac:dyDescent="0.25">
      <c r="A118" s="163"/>
      <c r="B118" s="84" t="s">
        <v>139</v>
      </c>
      <c r="C118" s="90">
        <f>VLOOKUP(A117,$A$20:$C$27,3,TRUE)</f>
        <v>1</v>
      </c>
      <c r="D118" s="3"/>
      <c r="E118" s="3"/>
      <c r="F118" s="3"/>
      <c r="G118" s="3"/>
      <c r="H118" s="3"/>
      <c r="I118" s="3"/>
      <c r="J118" s="3"/>
      <c r="K118" s="3"/>
      <c r="L118" s="3"/>
    </row>
    <row r="119" spans="1:12" x14ac:dyDescent="0.2">
      <c r="A119" s="92" t="s">
        <v>90</v>
      </c>
      <c r="B119" s="93" t="s">
        <v>3</v>
      </c>
      <c r="C119" s="94" t="s">
        <v>27</v>
      </c>
      <c r="D119" s="3"/>
      <c r="E119" s="3"/>
      <c r="F119" s="3"/>
      <c r="G119" s="3"/>
      <c r="H119" s="3"/>
      <c r="I119" s="3"/>
      <c r="J119" s="3"/>
      <c r="K119" s="3"/>
      <c r="L119" s="3"/>
    </row>
    <row r="120" spans="1:12" x14ac:dyDescent="0.2">
      <c r="A120" s="95" t="s">
        <v>91</v>
      </c>
      <c r="B120" s="8" t="s">
        <v>31</v>
      </c>
      <c r="C120" s="96">
        <f>VLOOKUP(A117,$A$39:$F$47,4,TRUE)</f>
        <v>147000</v>
      </c>
      <c r="D120" s="3"/>
      <c r="E120" s="3"/>
      <c r="F120" s="3"/>
      <c r="G120" s="3"/>
      <c r="H120" s="3"/>
      <c r="I120" s="3"/>
      <c r="J120" s="3"/>
      <c r="K120" s="3"/>
      <c r="L120" s="3"/>
    </row>
    <row r="121" spans="1:12" x14ac:dyDescent="0.2">
      <c r="A121" s="97" t="s">
        <v>95</v>
      </c>
      <c r="B121" s="1" t="s">
        <v>52</v>
      </c>
      <c r="C121" s="98">
        <f>1.1^($C$13)</f>
        <v>8.140274938683989</v>
      </c>
      <c r="D121" s="3"/>
      <c r="E121" s="3"/>
      <c r="F121" s="3"/>
      <c r="G121" s="3"/>
      <c r="H121" s="3"/>
      <c r="I121" s="3"/>
      <c r="J121" s="3"/>
      <c r="K121" s="3"/>
      <c r="L121" s="3"/>
    </row>
    <row r="122" spans="1:12" x14ac:dyDescent="0.2">
      <c r="A122" s="97" t="s">
        <v>96</v>
      </c>
      <c r="B122" s="1" t="s">
        <v>28</v>
      </c>
      <c r="C122" s="98">
        <f>IF($C$14=$T$1,1.1,1)</f>
        <v>1.1000000000000001</v>
      </c>
      <c r="D122" s="3"/>
      <c r="E122" s="3"/>
      <c r="F122" s="3"/>
      <c r="G122" s="3"/>
      <c r="H122" s="3"/>
      <c r="I122" s="3"/>
      <c r="J122" s="3"/>
      <c r="K122" s="3"/>
      <c r="L122" s="3"/>
    </row>
    <row r="123" spans="1:12" x14ac:dyDescent="0.2">
      <c r="A123" s="97" t="s">
        <v>97</v>
      </c>
      <c r="B123" s="1" t="s">
        <v>29</v>
      </c>
      <c r="C123" s="98">
        <f>IF($C$15=$T$1,1.1,1)</f>
        <v>1.1000000000000001</v>
      </c>
      <c r="D123" s="3"/>
      <c r="E123" s="3"/>
      <c r="F123" s="3"/>
      <c r="G123" s="3"/>
      <c r="H123" s="3"/>
      <c r="I123" s="3"/>
      <c r="J123" s="3"/>
      <c r="K123" s="3"/>
      <c r="L123" s="3"/>
    </row>
    <row r="124" spans="1:12" x14ac:dyDescent="0.2">
      <c r="A124" s="97" t="s">
        <v>98</v>
      </c>
      <c r="B124" s="1" t="s">
        <v>44</v>
      </c>
      <c r="C124" s="98">
        <f>IF($C$16=$T$1,1.1,1)</f>
        <v>1.1000000000000001</v>
      </c>
      <c r="D124" s="3"/>
      <c r="E124" s="3"/>
      <c r="F124" s="3"/>
      <c r="G124" s="3"/>
      <c r="H124" s="3"/>
      <c r="I124" s="3"/>
      <c r="J124" s="3"/>
      <c r="K124" s="3"/>
      <c r="L124" s="3"/>
    </row>
    <row r="125" spans="1:12" x14ac:dyDescent="0.2">
      <c r="A125" s="97" t="s">
        <v>99</v>
      </c>
      <c r="B125" s="1" t="s">
        <v>45</v>
      </c>
      <c r="C125" s="98">
        <f>IF($C$17=$T$1,1.1,1)</f>
        <v>1.1000000000000001</v>
      </c>
      <c r="D125" s="3"/>
      <c r="E125" s="3"/>
      <c r="F125" s="3"/>
      <c r="G125" s="3"/>
      <c r="H125" s="3"/>
      <c r="I125" s="3"/>
      <c r="J125" s="3"/>
      <c r="K125" s="3"/>
      <c r="L125" s="3"/>
    </row>
    <row r="126" spans="1:12" x14ac:dyDescent="0.2">
      <c r="A126" s="97" t="s">
        <v>105</v>
      </c>
      <c r="B126" s="1" t="s">
        <v>104</v>
      </c>
      <c r="C126" s="98">
        <f>$C$5</f>
        <v>1</v>
      </c>
      <c r="D126" s="3"/>
      <c r="E126" s="3"/>
      <c r="F126" s="3"/>
      <c r="G126" s="3"/>
      <c r="H126" s="3"/>
      <c r="I126" s="3"/>
      <c r="J126" s="3"/>
      <c r="K126" s="3"/>
      <c r="L126" s="3"/>
    </row>
    <row r="127" spans="1:12" x14ac:dyDescent="0.2">
      <c r="A127" s="99"/>
      <c r="B127" s="13" t="s">
        <v>106</v>
      </c>
      <c r="C127" s="100">
        <f>C121*C122*C123*C124*C125*C126</f>
        <v>11.918176537727231</v>
      </c>
      <c r="D127" s="3"/>
      <c r="E127" s="3"/>
      <c r="F127" s="3"/>
      <c r="G127" s="3"/>
      <c r="H127" s="3"/>
      <c r="I127" s="3"/>
      <c r="J127" s="3"/>
      <c r="K127" s="3"/>
      <c r="L127" s="3"/>
    </row>
    <row r="128" spans="1:12" x14ac:dyDescent="0.2">
      <c r="A128" s="99" t="s">
        <v>100</v>
      </c>
      <c r="B128" s="13" t="s">
        <v>136</v>
      </c>
      <c r="C128" s="101">
        <f>$C$8</f>
        <v>0.89</v>
      </c>
      <c r="D128" s="3"/>
      <c r="E128" s="3"/>
      <c r="F128" s="3"/>
      <c r="G128" s="3"/>
      <c r="H128" s="3"/>
      <c r="I128" s="3"/>
      <c r="J128" s="3"/>
      <c r="K128" s="3"/>
      <c r="L128" s="3"/>
    </row>
    <row r="129" spans="1:12" x14ac:dyDescent="0.2">
      <c r="A129" s="95" t="s">
        <v>101</v>
      </c>
      <c r="B129" s="8" t="s">
        <v>30</v>
      </c>
      <c r="C129" s="108">
        <f>C120*C127*C128</f>
        <v>1559255.0364308537</v>
      </c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5" thickBot="1" x14ac:dyDescent="0.25">
      <c r="A130" s="109"/>
      <c r="B130" s="110" t="s">
        <v>32</v>
      </c>
      <c r="C130" s="107">
        <f>IF(C118=0,0,MAX(C129*C118,VLOOKUP(A117,$A$40:$F$47,6,TRUE)))</f>
        <v>1559255.0364308537</v>
      </c>
      <c r="D130" s="3"/>
      <c r="E130" s="3"/>
      <c r="F130" s="3"/>
      <c r="G130" s="3"/>
      <c r="H130" s="3"/>
      <c r="I130" s="3"/>
      <c r="J130" s="3"/>
      <c r="K130" s="3"/>
      <c r="L130" s="3"/>
    </row>
    <row r="131" spans="1:12" x14ac:dyDescent="0.2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5" thickBot="1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x14ac:dyDescent="0.2">
      <c r="A133" s="162" t="str">
        <f>A25</f>
        <v>#6</v>
      </c>
      <c r="B133" s="160" t="s">
        <v>143</v>
      </c>
      <c r="C133" s="161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" thickBot="1" x14ac:dyDescent="0.25">
      <c r="A134" s="163"/>
      <c r="B134" s="84" t="s">
        <v>139</v>
      </c>
      <c r="C134" s="90">
        <f>VLOOKUP(A133,$A$20:$C$27,3,TRUE)</f>
        <v>0</v>
      </c>
      <c r="D134" s="3"/>
      <c r="E134" s="3"/>
      <c r="F134" s="3"/>
      <c r="G134" s="3"/>
      <c r="H134" s="3"/>
      <c r="I134" s="3"/>
      <c r="J134" s="3"/>
      <c r="K134" s="3"/>
      <c r="L134" s="3"/>
    </row>
    <row r="135" spans="1:12" x14ac:dyDescent="0.2">
      <c r="A135" s="92" t="s">
        <v>90</v>
      </c>
      <c r="B135" s="93" t="s">
        <v>3</v>
      </c>
      <c r="C135" s="94" t="s">
        <v>27</v>
      </c>
      <c r="D135" s="3"/>
      <c r="E135" s="3"/>
      <c r="F135" s="3"/>
      <c r="G135" s="3"/>
      <c r="H135" s="3"/>
      <c r="I135" s="3"/>
      <c r="J135" s="3"/>
      <c r="K135" s="3"/>
      <c r="L135" s="3"/>
    </row>
    <row r="136" spans="1:12" x14ac:dyDescent="0.2">
      <c r="A136" s="95" t="s">
        <v>91</v>
      </c>
      <c r="B136" s="8" t="s">
        <v>31</v>
      </c>
      <c r="C136" s="96">
        <f>VLOOKUP(A133,$A$39:$F$47,4,TRUE)</f>
        <v>42000</v>
      </c>
      <c r="D136" s="3"/>
      <c r="E136" s="3"/>
      <c r="F136" s="3"/>
      <c r="G136" s="3"/>
      <c r="H136" s="3"/>
      <c r="I136" s="3"/>
      <c r="J136" s="3"/>
      <c r="K136" s="3"/>
      <c r="L136" s="3"/>
    </row>
    <row r="137" spans="1:12" x14ac:dyDescent="0.2">
      <c r="A137" s="97" t="s">
        <v>95</v>
      </c>
      <c r="B137" s="1" t="s">
        <v>52</v>
      </c>
      <c r="C137" s="98">
        <f>1.1^($C$13)</f>
        <v>8.140274938683989</v>
      </c>
      <c r="D137" s="3"/>
      <c r="E137" s="3"/>
      <c r="F137" s="3"/>
      <c r="G137" s="3"/>
      <c r="H137" s="3"/>
      <c r="I137" s="3"/>
      <c r="J137" s="3"/>
      <c r="K137" s="3"/>
      <c r="L137" s="3"/>
    </row>
    <row r="138" spans="1:12" x14ac:dyDescent="0.2">
      <c r="A138" s="97" t="s">
        <v>96</v>
      </c>
      <c r="B138" s="1" t="s">
        <v>28</v>
      </c>
      <c r="C138" s="98">
        <f>IF($C$14=$T$1,1.1,1)</f>
        <v>1.1000000000000001</v>
      </c>
      <c r="D138" s="3"/>
      <c r="E138" s="3"/>
      <c r="F138" s="3"/>
      <c r="G138" s="3"/>
      <c r="H138" s="3"/>
      <c r="I138" s="3"/>
      <c r="J138" s="3"/>
      <c r="K138" s="3"/>
      <c r="L138" s="3"/>
    </row>
    <row r="139" spans="1:12" x14ac:dyDescent="0.2">
      <c r="A139" s="97" t="s">
        <v>97</v>
      </c>
      <c r="B139" s="1" t="s">
        <v>29</v>
      </c>
      <c r="C139" s="98">
        <f>IF($C$15=$T$1,1.1,1)</f>
        <v>1.1000000000000001</v>
      </c>
      <c r="D139" s="3"/>
      <c r="E139" s="3"/>
      <c r="F139" s="3"/>
      <c r="G139" s="3"/>
      <c r="H139" s="3"/>
      <c r="I139" s="3"/>
      <c r="J139" s="3"/>
      <c r="K139" s="3"/>
      <c r="L139" s="3"/>
    </row>
    <row r="140" spans="1:12" x14ac:dyDescent="0.2">
      <c r="A140" s="97" t="s">
        <v>98</v>
      </c>
      <c r="B140" s="1" t="s">
        <v>44</v>
      </c>
      <c r="C140" s="98">
        <f>IF($C$16=$T$1,1.1,1)</f>
        <v>1.1000000000000001</v>
      </c>
      <c r="D140" s="3"/>
      <c r="E140" s="3"/>
      <c r="F140" s="3"/>
      <c r="G140" s="3"/>
      <c r="H140" s="3"/>
      <c r="I140" s="3"/>
      <c r="J140" s="3"/>
      <c r="K140" s="3"/>
      <c r="L140" s="3"/>
    </row>
    <row r="141" spans="1:12" x14ac:dyDescent="0.2">
      <c r="A141" s="97" t="s">
        <v>99</v>
      </c>
      <c r="B141" s="1" t="s">
        <v>45</v>
      </c>
      <c r="C141" s="98">
        <f>IF($C$17=$T$1,1.1,1)</f>
        <v>1.1000000000000001</v>
      </c>
      <c r="D141" s="3"/>
      <c r="E141" s="3"/>
      <c r="F141" s="3"/>
      <c r="G141" s="3"/>
      <c r="H141" s="3"/>
      <c r="I141" s="3"/>
      <c r="J141" s="3"/>
      <c r="K141" s="3"/>
      <c r="L141" s="3"/>
    </row>
    <row r="142" spans="1:12" x14ac:dyDescent="0.2">
      <c r="A142" s="97" t="s">
        <v>105</v>
      </c>
      <c r="B142" s="1" t="s">
        <v>104</v>
      </c>
      <c r="C142" s="98">
        <f>$C$5</f>
        <v>1</v>
      </c>
      <c r="D142" s="3"/>
      <c r="E142" s="3"/>
      <c r="F142" s="3"/>
      <c r="G142" s="3"/>
      <c r="H142" s="3"/>
      <c r="I142" s="3"/>
      <c r="J142" s="3"/>
      <c r="K142" s="3"/>
      <c r="L142" s="3"/>
    </row>
    <row r="143" spans="1:12" x14ac:dyDescent="0.2">
      <c r="A143" s="99"/>
      <c r="B143" s="13" t="s">
        <v>106</v>
      </c>
      <c r="C143" s="100">
        <f>C137*C138*C139*C140*C141*C142</f>
        <v>11.918176537727231</v>
      </c>
      <c r="D143" s="3"/>
      <c r="E143" s="3"/>
      <c r="F143" s="3"/>
      <c r="G143" s="3"/>
      <c r="H143" s="3"/>
      <c r="I143" s="3"/>
      <c r="J143" s="3"/>
      <c r="K143" s="3"/>
      <c r="L143" s="3"/>
    </row>
    <row r="144" spans="1:12" x14ac:dyDescent="0.2">
      <c r="A144" s="99" t="s">
        <v>100</v>
      </c>
      <c r="B144" s="13" t="s">
        <v>136</v>
      </c>
      <c r="C144" s="101">
        <f>$C$8</f>
        <v>0.89</v>
      </c>
      <c r="D144" s="3"/>
      <c r="E144" s="3"/>
      <c r="F144" s="3"/>
      <c r="G144" s="3"/>
      <c r="H144" s="3"/>
      <c r="I144" s="3"/>
      <c r="J144" s="3"/>
      <c r="K144" s="3"/>
      <c r="L144" s="3"/>
    </row>
    <row r="145" spans="1:12" x14ac:dyDescent="0.2">
      <c r="A145" s="95" t="s">
        <v>101</v>
      </c>
      <c r="B145" s="8" t="s">
        <v>30</v>
      </c>
      <c r="C145" s="108">
        <f>C136*C143*C144</f>
        <v>445501.43898024387</v>
      </c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5" thickBot="1" x14ac:dyDescent="0.25">
      <c r="A146" s="109"/>
      <c r="B146" s="110" t="s">
        <v>32</v>
      </c>
      <c r="C146" s="107">
        <f>IF(C134=0,0,MAX(C145*C134,VLOOKUP(A133,$A$40:$F$47,6,TRUE)))</f>
        <v>0</v>
      </c>
      <c r="D146" s="3"/>
      <c r="E146" s="3"/>
      <c r="F146" s="3"/>
      <c r="G146" s="3"/>
      <c r="H146" s="3"/>
      <c r="I146" s="3"/>
      <c r="J146" s="3"/>
      <c r="K146" s="3"/>
      <c r="L146" s="3"/>
    </row>
    <row r="147" spans="1:12" x14ac:dyDescent="0.2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5" thickBot="1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x14ac:dyDescent="0.2">
      <c r="A149" s="162" t="str">
        <f>A26</f>
        <v>#7</v>
      </c>
      <c r="B149" s="160" t="s">
        <v>33</v>
      </c>
      <c r="C149" s="161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" thickBot="1" x14ac:dyDescent="0.25">
      <c r="A150" s="163"/>
      <c r="B150" s="84" t="s">
        <v>139</v>
      </c>
      <c r="C150" s="90">
        <f>VLOOKUP(A149,$A$20:$C$27,3,TRUE)</f>
        <v>1</v>
      </c>
      <c r="D150" s="3"/>
      <c r="E150" s="3"/>
      <c r="F150" s="3"/>
      <c r="G150" s="3"/>
      <c r="H150" s="3"/>
      <c r="I150" s="3"/>
      <c r="J150" s="3"/>
      <c r="K150" s="3"/>
      <c r="L150" s="3"/>
    </row>
    <row r="151" spans="1:12" x14ac:dyDescent="0.2">
      <c r="A151" s="92" t="s">
        <v>90</v>
      </c>
      <c r="B151" s="93" t="s">
        <v>3</v>
      </c>
      <c r="C151" s="94" t="s">
        <v>27</v>
      </c>
      <c r="D151" s="3"/>
      <c r="E151" s="3"/>
      <c r="F151" s="3"/>
      <c r="G151" s="3"/>
      <c r="H151" s="3"/>
      <c r="I151" s="3"/>
      <c r="J151" s="3"/>
      <c r="K151" s="3"/>
      <c r="L151" s="3"/>
    </row>
    <row r="152" spans="1:12" x14ac:dyDescent="0.2">
      <c r="A152" s="95" t="s">
        <v>91</v>
      </c>
      <c r="B152" s="8" t="s">
        <v>31</v>
      </c>
      <c r="C152" s="96">
        <f>VLOOKUP(A149,$A$39:$F$47,4,TRUE)</f>
        <v>42000</v>
      </c>
      <c r="D152" s="3"/>
      <c r="E152" s="3"/>
      <c r="F152" s="3"/>
      <c r="G152" s="3"/>
      <c r="H152" s="3"/>
      <c r="I152" s="3"/>
      <c r="J152" s="3"/>
      <c r="K152" s="3"/>
      <c r="L152" s="3"/>
    </row>
    <row r="153" spans="1:12" x14ac:dyDescent="0.2">
      <c r="A153" s="97" t="s">
        <v>95</v>
      </c>
      <c r="B153" s="1" t="s">
        <v>52</v>
      </c>
      <c r="C153" s="98">
        <f>1.1^($C$13)</f>
        <v>8.140274938683989</v>
      </c>
      <c r="D153" s="3"/>
      <c r="E153" s="3"/>
      <c r="F153" s="3"/>
      <c r="G153" s="3"/>
      <c r="H153" s="3"/>
      <c r="I153" s="3"/>
      <c r="J153" s="3"/>
      <c r="K153" s="3"/>
      <c r="L153" s="3"/>
    </row>
    <row r="154" spans="1:12" x14ac:dyDescent="0.2">
      <c r="A154" s="97" t="s">
        <v>96</v>
      </c>
      <c r="B154" s="1" t="s">
        <v>28</v>
      </c>
      <c r="C154" s="98">
        <f>IF($C$14=$T$1,1.1,1)</f>
        <v>1.1000000000000001</v>
      </c>
      <c r="D154" s="3"/>
      <c r="E154" s="3"/>
      <c r="F154" s="3"/>
      <c r="G154" s="3"/>
      <c r="H154" s="3"/>
      <c r="I154" s="3"/>
      <c r="J154" s="3"/>
      <c r="K154" s="3"/>
      <c r="L154" s="3"/>
    </row>
    <row r="155" spans="1:12" x14ac:dyDescent="0.2">
      <c r="A155" s="97" t="s">
        <v>97</v>
      </c>
      <c r="B155" s="1" t="s">
        <v>29</v>
      </c>
      <c r="C155" s="98">
        <f>IF($C$15=$T$1,1.1,1)</f>
        <v>1.1000000000000001</v>
      </c>
      <c r="D155" s="3"/>
      <c r="E155" s="3"/>
      <c r="F155" s="3"/>
      <c r="G155" s="3"/>
      <c r="H155" s="3"/>
      <c r="I155" s="3"/>
      <c r="J155" s="3"/>
      <c r="K155" s="3"/>
      <c r="L155" s="3"/>
    </row>
    <row r="156" spans="1:12" x14ac:dyDescent="0.2">
      <c r="A156" s="97" t="s">
        <v>98</v>
      </c>
      <c r="B156" s="1" t="s">
        <v>44</v>
      </c>
      <c r="C156" s="98">
        <f>IF($C$16=$T$1,1.1,1)</f>
        <v>1.1000000000000001</v>
      </c>
      <c r="D156" s="3"/>
      <c r="E156" s="3"/>
      <c r="F156" s="3"/>
      <c r="G156" s="3"/>
      <c r="H156" s="3"/>
      <c r="I156" s="3"/>
      <c r="J156" s="3"/>
      <c r="K156" s="3"/>
      <c r="L156" s="3"/>
    </row>
    <row r="157" spans="1:12" x14ac:dyDescent="0.2">
      <c r="A157" s="97" t="s">
        <v>99</v>
      </c>
      <c r="B157" s="1" t="s">
        <v>45</v>
      </c>
      <c r="C157" s="98">
        <f>IF($C$17=$T$1,1.1,1)</f>
        <v>1.1000000000000001</v>
      </c>
      <c r="D157" s="3"/>
      <c r="E157" s="3"/>
      <c r="F157" s="3"/>
      <c r="G157" s="3"/>
      <c r="H157" s="3"/>
      <c r="I157" s="3"/>
      <c r="J157" s="3"/>
      <c r="K157" s="3"/>
      <c r="L157" s="3"/>
    </row>
    <row r="158" spans="1:12" x14ac:dyDescent="0.2">
      <c r="A158" s="97" t="s">
        <v>105</v>
      </c>
      <c r="B158" s="1" t="s">
        <v>104</v>
      </c>
      <c r="C158" s="98">
        <f>$C$5</f>
        <v>1</v>
      </c>
      <c r="D158" s="3"/>
      <c r="E158" s="3"/>
      <c r="F158" s="3"/>
      <c r="G158" s="3"/>
      <c r="H158" s="3"/>
      <c r="I158" s="3"/>
      <c r="J158" s="3"/>
      <c r="K158" s="3"/>
      <c r="L158" s="3"/>
    </row>
    <row r="159" spans="1:12" x14ac:dyDescent="0.2">
      <c r="A159" s="99"/>
      <c r="B159" s="13" t="s">
        <v>106</v>
      </c>
      <c r="C159" s="100">
        <f>C153*C154*C155*C156*C157*C158</f>
        <v>11.918176537727231</v>
      </c>
      <c r="D159" s="3"/>
      <c r="E159" s="3"/>
      <c r="F159" s="3"/>
      <c r="G159" s="3"/>
      <c r="H159" s="3"/>
      <c r="I159" s="3"/>
      <c r="J159" s="3"/>
      <c r="K159" s="3"/>
      <c r="L159" s="3"/>
    </row>
    <row r="160" spans="1:12" x14ac:dyDescent="0.2">
      <c r="A160" s="99" t="s">
        <v>100</v>
      </c>
      <c r="B160" s="13" t="s">
        <v>136</v>
      </c>
      <c r="C160" s="101">
        <f>$C$8</f>
        <v>0.89</v>
      </c>
      <c r="D160" s="3"/>
      <c r="E160" s="3"/>
      <c r="F160" s="3"/>
      <c r="G160" s="3"/>
      <c r="H160" s="3"/>
      <c r="I160" s="3"/>
      <c r="J160" s="3"/>
      <c r="K160" s="3"/>
      <c r="L160" s="3"/>
    </row>
    <row r="161" spans="1:12" x14ac:dyDescent="0.2">
      <c r="A161" s="95" t="s">
        <v>101</v>
      </c>
      <c r="B161" s="8" t="s">
        <v>30</v>
      </c>
      <c r="C161" s="108">
        <f>C152*C159*C160</f>
        <v>445501.43898024387</v>
      </c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5" thickBot="1" x14ac:dyDescent="0.25">
      <c r="A162" s="109"/>
      <c r="B162" s="110" t="s">
        <v>32</v>
      </c>
      <c r="C162" s="107">
        <f>IF(C150=0,0,MAX(C161*C150,VLOOKUP(A149,$A$40:$F$47,6,TRUE)))</f>
        <v>445501.43898024387</v>
      </c>
      <c r="D162" s="3"/>
      <c r="E162" s="3"/>
      <c r="F162" s="3"/>
      <c r="G162" s="3"/>
      <c r="H162" s="3"/>
      <c r="I162" s="3"/>
      <c r="J162" s="3"/>
      <c r="K162" s="3"/>
      <c r="L162" s="3"/>
    </row>
    <row r="163" spans="1:12" x14ac:dyDescent="0.2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5" thickBot="1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x14ac:dyDescent="0.2">
      <c r="A165" s="162" t="str">
        <f>A27</f>
        <v>#8</v>
      </c>
      <c r="B165" s="160" t="s">
        <v>144</v>
      </c>
      <c r="C165" s="161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5" thickBot="1" x14ac:dyDescent="0.25">
      <c r="A166" s="163"/>
      <c r="B166" s="84" t="s">
        <v>151</v>
      </c>
      <c r="C166" s="144"/>
      <c r="D166" s="3"/>
      <c r="E166" s="3"/>
      <c r="F166" s="3"/>
      <c r="G166" s="3"/>
      <c r="H166" s="3"/>
      <c r="I166" s="3"/>
      <c r="J166" s="3"/>
      <c r="K166" s="3"/>
      <c r="L166" s="3"/>
    </row>
    <row r="167" spans="1:12" x14ac:dyDescent="0.2">
      <c r="A167" s="92" t="s">
        <v>90</v>
      </c>
      <c r="B167" s="93" t="s">
        <v>3</v>
      </c>
      <c r="C167" s="94" t="s">
        <v>27</v>
      </c>
      <c r="D167" s="3"/>
      <c r="E167" s="3"/>
      <c r="F167" s="3"/>
      <c r="G167" s="3"/>
      <c r="H167" s="3"/>
      <c r="I167" s="3"/>
      <c r="J167" s="3"/>
      <c r="K167" s="3"/>
      <c r="L167" s="3"/>
    </row>
    <row r="168" spans="1:12" x14ac:dyDescent="0.2">
      <c r="A168" s="145"/>
      <c r="B168" s="146" t="s">
        <v>148</v>
      </c>
      <c r="C168" s="147">
        <f>IF($C$27=TRUE,10%*C66,0)</f>
        <v>0</v>
      </c>
      <c r="D168" s="3"/>
      <c r="E168" s="3"/>
      <c r="F168" s="3"/>
      <c r="G168" s="3"/>
      <c r="H168" s="3"/>
      <c r="I168" s="3"/>
      <c r="J168" s="3"/>
      <c r="K168" s="3"/>
      <c r="L168" s="3"/>
    </row>
    <row r="169" spans="1:12" x14ac:dyDescent="0.2">
      <c r="A169" s="145"/>
      <c r="B169" s="146" t="s">
        <v>149</v>
      </c>
      <c r="C169" s="147">
        <f>IF($C$28=TRUE,20%*(C82+C98+C114),0)</f>
        <v>0</v>
      </c>
      <c r="D169" s="3"/>
      <c r="E169" s="3"/>
      <c r="F169" s="3"/>
      <c r="G169" s="3"/>
      <c r="H169" s="3"/>
      <c r="I169" s="3"/>
      <c r="J169" s="3"/>
      <c r="K169" s="3"/>
      <c r="L169" s="3"/>
    </row>
    <row r="170" spans="1:12" x14ac:dyDescent="0.2">
      <c r="A170" s="145"/>
      <c r="B170" s="146" t="s">
        <v>150</v>
      </c>
      <c r="C170" s="147">
        <f>IF($C$29=TRUE,20%*(C129),0)</f>
        <v>0</v>
      </c>
      <c r="D170" s="3"/>
      <c r="E170" s="3"/>
      <c r="F170" s="3"/>
      <c r="G170" s="3"/>
      <c r="H170" s="3"/>
      <c r="I170" s="3"/>
      <c r="J170" s="3"/>
      <c r="K170" s="3"/>
      <c r="L170" s="3"/>
    </row>
    <row r="171" spans="1:12" x14ac:dyDescent="0.2">
      <c r="A171" s="145"/>
      <c r="B171" s="146" t="s">
        <v>1</v>
      </c>
      <c r="C171" s="147">
        <f>IF($C$30=TRUE,20%*C161,0)</f>
        <v>0</v>
      </c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5" thickBot="1" x14ac:dyDescent="0.25">
      <c r="A172" s="109"/>
      <c r="B172" s="110" t="s">
        <v>32</v>
      </c>
      <c r="C172" s="107">
        <f>SUM(C168:C171)</f>
        <v>0</v>
      </c>
      <c r="D172" s="3"/>
      <c r="E172" s="3"/>
      <c r="F172" s="3"/>
      <c r="G172" s="3"/>
      <c r="H172" s="3"/>
      <c r="I172" s="3"/>
      <c r="J172" s="3"/>
      <c r="K172" s="3"/>
      <c r="L172" s="3"/>
    </row>
    <row r="173" spans="1:12" x14ac:dyDescent="0.2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x14ac:dyDescent="0.2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x14ac:dyDescent="0.2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x14ac:dyDescent="0.2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2:12" x14ac:dyDescent="0.2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2:12" x14ac:dyDescent="0.2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2:12" x14ac:dyDescent="0.2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2:12" x14ac:dyDescent="0.2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2:12" x14ac:dyDescent="0.2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2:12" x14ac:dyDescent="0.2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2:12" x14ac:dyDescent="0.2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2:12" x14ac:dyDescent="0.2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2:12" x14ac:dyDescent="0.2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2:12" x14ac:dyDescent="0.2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2:12" x14ac:dyDescent="0.2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2:12" x14ac:dyDescent="0.2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2:12" x14ac:dyDescent="0.2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2:12" x14ac:dyDescent="0.2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2:12" x14ac:dyDescent="0.2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2:12" x14ac:dyDescent="0.2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2:12" x14ac:dyDescent="0.2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2:12" x14ac:dyDescent="0.2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2:12" x14ac:dyDescent="0.2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2:12" x14ac:dyDescent="0.2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2:12" x14ac:dyDescent="0.2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</sheetData>
  <scenarios current="0" show="0" sqref="C22 C53 C71 C86 C101">
    <scenario name="אופציה 1" locked="1" count="1" user="ירדן אבני" comment="נוצר על-ידי ירדן אבני ב 01/08/2022_x000a_שונה על-ידי ירדן אבני ב 01/08/2022">
      <inputCells r="C10" val="אופציה 1 - לפי הדוגמא בתעריף"/>
    </scenario>
    <scenario name="אופציה 2" locked="1" count="1" user="ירדן אבני" comment="נוצר על-ידי ירדן אבני ב 01/08/2022_x000a_שונה על-ידי ירדן אבני ב 01/08/2022">
      <inputCells r="C10" val="אופציה 2 - לפי חתך קיים"/>
    </scenario>
    <scenario name="אופציה 3" locked="1" count="1" user="ירדן אבני" comment="נוצר על-ידי ירדן אבני ב 01/08/2022_x000a_שונה על-ידי ירדן אבני ב 01/08/2022">
      <inputCells r="C10" val="אופציה 3 - לפי חתך קיים, ללא דלק"/>
    </scenario>
    <scenario name="אופציה 4" locked="1" count="1" user="ירדן אבני" comment="נוצר על-ידי ירדן אבני ב 01/08/2022_x000a_שונה על-ידי ירדן אבני ב 01/08/2022">
      <inputCells r="C10" val="אופציה 4 - לפי נתונים מעודכנים"/>
    </scenario>
    <scenario name="אופציה 5" locked="1" count="1" user="ירדן אבני" comment="נוצר על-ידי ירדן אבני ב 01/08/2022_x000a_שונה על-ידי ירדן אבני ב 01/08/2022">
      <inputCells r="C10" val="אופציה 5 - לפי נתונים מעודכנים, ללא דלק"/>
    </scenario>
  </scenarios>
  <mergeCells count="27">
    <mergeCell ref="A165:A166"/>
    <mergeCell ref="B165:C165"/>
    <mergeCell ref="D11:D17"/>
    <mergeCell ref="D21:D23"/>
    <mergeCell ref="D24:D25"/>
    <mergeCell ref="D27:D30"/>
    <mergeCell ref="B53:C53"/>
    <mergeCell ref="A133:A134"/>
    <mergeCell ref="B133:C133"/>
    <mergeCell ref="A149:A150"/>
    <mergeCell ref="B149:C149"/>
    <mergeCell ref="A1:B1"/>
    <mergeCell ref="B69:C69"/>
    <mergeCell ref="A101:A102"/>
    <mergeCell ref="B101:C101"/>
    <mergeCell ref="A117:A118"/>
    <mergeCell ref="B117:C117"/>
    <mergeCell ref="A51:C51"/>
    <mergeCell ref="A3:C3"/>
    <mergeCell ref="A4:A5"/>
    <mergeCell ref="A7:A8"/>
    <mergeCell ref="A10:A17"/>
    <mergeCell ref="A36:B36"/>
    <mergeCell ref="A53:A54"/>
    <mergeCell ref="A69:A70"/>
    <mergeCell ref="A85:A86"/>
    <mergeCell ref="B85:C85"/>
  </mergeCells>
  <phoneticPr fontId="15" type="noConversion"/>
  <conditionalFormatting sqref="A53:C66">
    <cfRule type="expression" dxfId="9" priority="13">
      <formula>$C$54=0</formula>
    </cfRule>
  </conditionalFormatting>
  <conditionalFormatting sqref="A69:C82">
    <cfRule type="expression" dxfId="8" priority="12">
      <formula>$C$70=0</formula>
    </cfRule>
  </conditionalFormatting>
  <conditionalFormatting sqref="A85:C98">
    <cfRule type="expression" dxfId="7" priority="11">
      <formula>$C$86=0</formula>
    </cfRule>
  </conditionalFormatting>
  <conditionalFormatting sqref="A101:C114">
    <cfRule type="expression" dxfId="6" priority="10">
      <formula>$C$102=0</formula>
    </cfRule>
  </conditionalFormatting>
  <conditionalFormatting sqref="A117:C130">
    <cfRule type="expression" dxfId="5" priority="9">
      <formula>$C$118=0</formula>
    </cfRule>
  </conditionalFormatting>
  <conditionalFormatting sqref="A133:C146">
    <cfRule type="expression" dxfId="4" priority="8">
      <formula>$C$134=0</formula>
    </cfRule>
  </conditionalFormatting>
  <conditionalFormatting sqref="A149:C162">
    <cfRule type="expression" dxfId="3" priority="7">
      <formula>$C$150=0</formula>
    </cfRule>
  </conditionalFormatting>
  <conditionalFormatting sqref="A165:C172">
    <cfRule type="expression" dxfId="2" priority="6">
      <formula>$C$172=0</formula>
    </cfRule>
  </conditionalFormatting>
  <conditionalFormatting sqref="C21:C23">
    <cfRule type="expression" dxfId="1" priority="1">
      <formula>$C$21+$C$22+$C$23&gt;100%</formula>
    </cfRule>
  </conditionalFormatting>
  <conditionalFormatting sqref="C24:C25">
    <cfRule type="expression" dxfId="0" priority="2">
      <formula>$C$24+$C$25&gt;100%</formula>
    </cfRule>
  </conditionalFormatting>
  <dataValidations disablePrompts="1" count="1">
    <dataValidation type="list" allowBlank="1" showInputMessage="1" showErrorMessage="1" sqref="C4" xr:uid="{EC17DE72-4577-4F94-8745-CE8559321E79}">
      <formula1>$T$1:$T$2</formula1>
    </dataValidation>
  </dataValidations>
  <pageMargins left="0.25" right="0.25" top="0.75" bottom="0.75" header="0.3" footer="0.3"/>
  <pageSetup scale="2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Check Box 16">
              <controlPr defaultSize="0" autoFill="0" autoLine="0" autoPict="0">
                <anchor moveWithCells="1">
                  <from>
                    <xdr:col>2</xdr:col>
                    <xdr:colOff>38100</xdr:colOff>
                    <xdr:row>26</xdr:row>
                    <xdr:rowOff>9525</xdr:rowOff>
                  </from>
                  <to>
                    <xdr:col>2</xdr:col>
                    <xdr:colOff>762000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2</xdr:col>
                    <xdr:colOff>38100</xdr:colOff>
                    <xdr:row>27</xdr:row>
                    <xdr:rowOff>9525</xdr:rowOff>
                  </from>
                  <to>
                    <xdr:col>2</xdr:col>
                    <xdr:colOff>762000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2</xdr:col>
                    <xdr:colOff>38100</xdr:colOff>
                    <xdr:row>28</xdr:row>
                    <xdr:rowOff>9525</xdr:rowOff>
                  </from>
                  <to>
                    <xdr:col>2</xdr:col>
                    <xdr:colOff>762000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2</xdr:col>
                    <xdr:colOff>38100</xdr:colOff>
                    <xdr:row>29</xdr:row>
                    <xdr:rowOff>9525</xdr:rowOff>
                  </from>
                  <to>
                    <xdr:col>2</xdr:col>
                    <xdr:colOff>762000</xdr:colOff>
                    <xdr:row>29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9849E-5FCF-4F71-B9DE-6F1688BC9F79}">
  <sheetPr codeName="גיליון3">
    <tabColor theme="3" tint="0.79998168889431442"/>
    <pageSetUpPr fitToPage="1"/>
  </sheetPr>
  <dimension ref="A1:Y62"/>
  <sheetViews>
    <sheetView rightToLeft="1" view="pageBreakPreview" zoomScale="60" zoomScaleNormal="85" workbookViewId="0">
      <selection activeCell="N8" sqref="N8"/>
    </sheetView>
  </sheetViews>
  <sheetFormatPr defaultRowHeight="14.25" x14ac:dyDescent="0.2"/>
  <cols>
    <col min="1" max="1" width="9.375" customWidth="1"/>
    <col min="2" max="2" width="29.125" customWidth="1"/>
    <col min="3" max="3" width="9.5" customWidth="1"/>
    <col min="6" max="6" width="37.25" customWidth="1"/>
    <col min="7" max="7" width="8.5" customWidth="1"/>
  </cols>
  <sheetData>
    <row r="1" spans="1:25" s="3" customFormat="1" ht="27.75" customHeight="1" x14ac:dyDescent="0.2">
      <c r="A1" s="159" t="s">
        <v>145</v>
      </c>
      <c r="B1" s="159"/>
      <c r="C1" s="73"/>
      <c r="D1" s="74"/>
      <c r="E1" s="73"/>
      <c r="F1" s="73"/>
      <c r="G1" s="73"/>
    </row>
    <row r="2" spans="1:2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x14ac:dyDescent="0.2">
      <c r="A3" s="197" t="s">
        <v>103</v>
      </c>
      <c r="B3" s="197"/>
      <c r="C3" s="111">
        <f>A25+E25+A38+E38+A51+E51</f>
        <v>68</v>
      </c>
      <c r="D3" s="3"/>
      <c r="E3" s="3"/>
      <c r="F3" s="14" t="s">
        <v>34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x14ac:dyDescent="0.2">
      <c r="A4" s="197" t="s">
        <v>49</v>
      </c>
      <c r="B4" s="197"/>
      <c r="C4" s="112">
        <f>C25+G25+C38+G38+C51+G51</f>
        <v>27</v>
      </c>
      <c r="D4" s="3"/>
      <c r="E4" s="3"/>
      <c r="F4" s="76" t="s">
        <v>35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2">
      <c r="A5" s="201" t="s">
        <v>76</v>
      </c>
      <c r="B5" s="201"/>
      <c r="C5" s="112">
        <f>C4-5</f>
        <v>22</v>
      </c>
      <c r="D5" s="3"/>
      <c r="E5" s="3"/>
      <c r="F5" s="81" t="s">
        <v>36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x14ac:dyDescent="0.2">
      <c r="A6" s="30"/>
      <c r="B6" s="30"/>
      <c r="C6" s="1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x14ac:dyDescent="0.2">
      <c r="A7" t="s">
        <v>58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x14ac:dyDescent="0.2">
      <c r="A8" s="197" t="s">
        <v>55</v>
      </c>
      <c r="B8" s="197"/>
      <c r="C8" s="111" t="str">
        <f>IF(A20&gt;0,"כן",IF(A21&gt;0,"כן","לא"))</f>
        <v>כן</v>
      </c>
      <c r="D8" s="3"/>
      <c r="E8" s="198" t="s">
        <v>80</v>
      </c>
      <c r="F8" s="121" t="s">
        <v>81</v>
      </c>
      <c r="G8" s="122">
        <f>'טבלת עזר לחישוב'!C4</f>
        <v>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x14ac:dyDescent="0.2">
      <c r="A9" s="197" t="s">
        <v>21</v>
      </c>
      <c r="B9" s="197"/>
      <c r="C9" s="111" t="str">
        <f>IF(E38&gt;0,"כן","לא")</f>
        <v>כן</v>
      </c>
      <c r="D9" s="3"/>
      <c r="E9" s="199"/>
      <c r="F9" s="123" t="s">
        <v>82</v>
      </c>
      <c r="G9" s="124">
        <f>'טבלת עזר לחישוב'!C5</f>
        <v>0.5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2">
      <c r="A10" s="197" t="s">
        <v>56</v>
      </c>
      <c r="B10" s="197"/>
      <c r="C10" s="111" t="str">
        <f>IF(A31&gt;0,"כן","לא")</f>
        <v>כן</v>
      </c>
      <c r="D10" s="3"/>
      <c r="E10" s="200"/>
      <c r="F10" s="125" t="s">
        <v>83</v>
      </c>
      <c r="G10" s="126">
        <f>'טבלת עזר לחישוב'!C6</f>
        <v>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2">
      <c r="A11" s="197" t="s">
        <v>57</v>
      </c>
      <c r="B11" s="197"/>
      <c r="C11" s="111" t="str">
        <f>IF(A33&gt;0,"כן","לא")</f>
        <v>כן</v>
      </c>
      <c r="D11" s="3"/>
      <c r="E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" thickBo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x14ac:dyDescent="0.2">
      <c r="A15" s="173" t="s">
        <v>22</v>
      </c>
      <c r="B15" s="174"/>
      <c r="C15" s="175"/>
      <c r="D15" s="3"/>
      <c r="E15" s="179" t="s">
        <v>108</v>
      </c>
      <c r="F15" s="180"/>
      <c r="G15" s="181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x14ac:dyDescent="0.2">
      <c r="A16" s="176"/>
      <c r="B16" s="177"/>
      <c r="C16" s="178"/>
      <c r="D16" s="3"/>
      <c r="E16" s="182"/>
      <c r="F16" s="183"/>
      <c r="G16" s="18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43.5" thickBot="1" x14ac:dyDescent="0.25">
      <c r="A17" s="20" t="s">
        <v>84</v>
      </c>
      <c r="B17" s="21" t="s">
        <v>85</v>
      </c>
      <c r="C17" s="22" t="s">
        <v>50</v>
      </c>
      <c r="D17" s="3"/>
      <c r="E17" s="20" t="s">
        <v>84</v>
      </c>
      <c r="F17" s="21" t="s">
        <v>85</v>
      </c>
      <c r="G17" s="22" t="s">
        <v>50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5" thickTop="1" x14ac:dyDescent="0.2">
      <c r="A18" s="117">
        <v>30</v>
      </c>
      <c r="B18" s="18" t="s">
        <v>86</v>
      </c>
      <c r="C18" s="214">
        <f>VLOOKUP(A18+A19,'טבלת עזר לחישוב'!$B$4:$D$6,3,TRUE)+(A18+A19-VLOOKUP(A18+A19,'טבלת עזר לחישוב'!$B$4:$D$6,1,TRUE))*VLOOKUP(A18+A19,'טבלת עזר לחישוב'!$B$4:$D$6,2,TRUE)</f>
        <v>4.5</v>
      </c>
      <c r="D18" s="3"/>
      <c r="E18" s="117">
        <v>2</v>
      </c>
      <c r="F18" s="23" t="s">
        <v>15</v>
      </c>
      <c r="G18" s="116">
        <f>VLOOKUP(E18,'טבלת עזר לחישוב'!$B$4:$D$6,3,TRUE)+(E18-VLOOKUP(E18,'טבלת עזר לחישוב'!$B$4:$D$6,1,TRUE))*VLOOKUP(E18,'טבלת עזר לחישוב'!$B$4:$D$6,2,TRUE)</f>
        <v>2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2">
      <c r="A19" s="117">
        <v>0</v>
      </c>
      <c r="B19" s="18" t="s">
        <v>64</v>
      </c>
      <c r="C19" s="215"/>
      <c r="D19" s="3"/>
      <c r="E19" s="118">
        <v>2</v>
      </c>
      <c r="F19" s="6" t="s">
        <v>79</v>
      </c>
      <c r="G19" s="116">
        <f>VLOOKUP(E19,'טבלת עזר לחישוב'!$B$4:$D$6,3,TRUE)+(E19-VLOOKUP(E19,'טבלת עזר לחישוב'!$B$4:$D$6,1,TRUE))*VLOOKUP(E19,'טבלת עזר לחישוב'!$B$4:$D$6,2,TRUE)</f>
        <v>2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2">
      <c r="A20" s="118">
        <v>8</v>
      </c>
      <c r="B20" s="4" t="s">
        <v>14</v>
      </c>
      <c r="C20" s="216">
        <f>VLOOKUP(A20+A21,'טבלת עזר לחישוב'!$B$4:$D$6,3,TRUE)+(A20+A21-VLOOKUP(A20+A21,'טבלת עזר לחישוב'!$B$4:$D$6,1,TRUE))*VLOOKUP(A20+A21,'טבלת עזר לחישוב'!$B$4:$D$6,2,TRUE)</f>
        <v>4.5</v>
      </c>
      <c r="D20" s="3"/>
      <c r="E20" s="118">
        <v>0</v>
      </c>
      <c r="F20" s="6" t="s">
        <v>16</v>
      </c>
      <c r="G20" s="116"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">
      <c r="A21" s="118">
        <v>0</v>
      </c>
      <c r="B21" s="4" t="s">
        <v>23</v>
      </c>
      <c r="C21" s="215"/>
      <c r="D21" s="3"/>
      <c r="E21" s="118">
        <v>0</v>
      </c>
      <c r="F21" s="6" t="s">
        <v>107</v>
      </c>
      <c r="G21" s="116">
        <f>VLOOKUP(E21,'טבלת עזר לחישוב'!$B$4:$D$6,3,TRUE)+(E21-VLOOKUP(E21,'טבלת עזר לחישוב'!$B$4:$D$6,1,TRUE))*VLOOKUP(E21,'טבלת עזר לחישוב'!$B$4:$D$6,2,TRUE)</f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2">
      <c r="A22" s="118">
        <v>0</v>
      </c>
      <c r="B22" s="4"/>
      <c r="C22" s="113">
        <f>VLOOKUP(A22,'טבלת עזר לחישוב'!$B$4:$D$6,3,TRUE)+(A22-VLOOKUP(A22,'טבלת עזר לחישוב'!$B$4:$D$6,1,TRUE))*VLOOKUP(A22,'טבלת עזר לחישוב'!$B$4:$D$6,2,TRUE)</f>
        <v>0</v>
      </c>
      <c r="D22" s="3"/>
      <c r="E22" s="118">
        <v>1</v>
      </c>
      <c r="F22" s="6" t="s">
        <v>159</v>
      </c>
      <c r="G22" s="116">
        <f>VLOOKUP(E22,'טבלת עזר לחישוב'!$B$4:$D$6,3,TRUE)+(E22-VLOOKUP(E22,'טבלת עזר לחישוב'!$B$4:$D$6,1,TRUE))*VLOOKUP(E22,'טבלת עזר לחישוב'!$B$4:$D$6,2,TRUE)</f>
        <v>1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x14ac:dyDescent="0.2">
      <c r="A23" s="118">
        <v>0</v>
      </c>
      <c r="B23" s="5"/>
      <c r="C23" s="113">
        <f>VLOOKUP(A23,'טבלת עזר לחישוב'!$B$4:$D$6,3,TRUE)+(A23-VLOOKUP(A23,'טבלת עזר לחישוב'!$B$4:$D$6,1,TRUE))*VLOOKUP(A23,'טבלת עזר לחישוב'!$B$4:$D$6,2,TRUE)</f>
        <v>0</v>
      </c>
      <c r="D23" s="3"/>
      <c r="E23" s="118">
        <v>0</v>
      </c>
      <c r="F23" s="6"/>
      <c r="G23" s="116">
        <f>VLOOKUP(E23,'טבלת עזר לחישוב'!$B$4:$D$6,3,TRUE)+(E23-VLOOKUP(E23,'טבלת עזר לחישוב'!$B$4:$D$6,1,TRUE))*VLOOKUP(E23,'טבלת עזר לחישוב'!$B$4:$D$6,2,TRUE)</f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" thickBot="1" x14ac:dyDescent="0.25">
      <c r="A24" s="119">
        <v>0</v>
      </c>
      <c r="B24" s="29"/>
      <c r="C24" s="114">
        <f>VLOOKUP(A24,'טבלת עזר לחישוב'!$B$4:$D$6,3,TRUE)+(A24-VLOOKUP(A24,'טבלת עזר לחישוב'!$B$4:$D$6,1,TRUE))*VLOOKUP(A24,'טבלת עזר לחישוב'!$B$4:$D$6,2,TRUE)</f>
        <v>0</v>
      </c>
      <c r="D24" s="3"/>
      <c r="E24" s="119">
        <v>0</v>
      </c>
      <c r="F24" s="24"/>
      <c r="G24" s="116">
        <f>VLOOKUP(E24,'טבלת עזר לחישוב'!$B$4:$D$6,3,TRUE)+(E24-VLOOKUP(E24,'טבלת עזר לחישוב'!$B$4:$D$6,1,TRUE))*VLOOKUP(E24,'טבלת עזר לחישוב'!$B$4:$D$6,2,TRUE)</f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" thickBot="1" x14ac:dyDescent="0.25">
      <c r="A25" s="26">
        <f>SUM(A18:A24)</f>
        <v>38</v>
      </c>
      <c r="B25" s="27" t="s">
        <v>30</v>
      </c>
      <c r="C25" s="115">
        <f>SUM(C18:C24)</f>
        <v>9</v>
      </c>
      <c r="D25" s="3"/>
      <c r="E25" s="26">
        <f>SUM(E18:E24)</f>
        <v>5</v>
      </c>
      <c r="F25" s="27" t="s">
        <v>30</v>
      </c>
      <c r="G25" s="115">
        <f>SUM(G18:G24)</f>
        <v>5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" thickBo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x14ac:dyDescent="0.2">
      <c r="A28" s="185" t="s">
        <v>20</v>
      </c>
      <c r="B28" s="186"/>
      <c r="C28" s="187"/>
      <c r="D28" s="3"/>
      <c r="E28" s="191" t="s">
        <v>21</v>
      </c>
      <c r="F28" s="192"/>
      <c r="G28" s="19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x14ac:dyDescent="0.2">
      <c r="A29" s="188"/>
      <c r="B29" s="189"/>
      <c r="C29" s="190"/>
      <c r="D29" s="3"/>
      <c r="E29" s="194"/>
      <c r="F29" s="195"/>
      <c r="G29" s="196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43.5" thickBot="1" x14ac:dyDescent="0.25">
      <c r="A30" s="20" t="s">
        <v>84</v>
      </c>
      <c r="B30" s="21" t="s">
        <v>85</v>
      </c>
      <c r="C30" s="22" t="s">
        <v>50</v>
      </c>
      <c r="D30" s="3"/>
      <c r="E30" s="20" t="s">
        <v>84</v>
      </c>
      <c r="F30" s="21" t="s">
        <v>85</v>
      </c>
      <c r="G30" s="22" t="s">
        <v>50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" thickTop="1" x14ac:dyDescent="0.2">
      <c r="A31" s="117">
        <v>2</v>
      </c>
      <c r="B31" s="18" t="s">
        <v>7</v>
      </c>
      <c r="C31" s="217">
        <f>VLOOKUP(A31+A32,'טבלת עזר לחישוב'!$B$4:$D$6,3,TRUE)+(A31-VLOOKUP(A31,'טבלת עזר לחישוב'!$B$4:$D$6,1,TRUE))*VLOOKUP(A31,'טבלת עזר לחישוב'!$B$4:$D$6,2,TRUE)</f>
        <v>2</v>
      </c>
      <c r="D31" s="3"/>
      <c r="E31" s="117">
        <v>1</v>
      </c>
      <c r="F31" s="18" t="s">
        <v>19</v>
      </c>
      <c r="G31" s="19">
        <f>VLOOKUP(E31,'טבלת עזר לחישוב'!$B$4:$D$6,3,TRUE)+(E31-VLOOKUP(E31,'טבלת עזר לחישוב'!$B$4:$D$6,1,TRUE))*VLOOKUP(E31,'טבלת עזר לחישוב'!$B$4:$D$6,2,TRUE)</f>
        <v>1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x14ac:dyDescent="0.2">
      <c r="A32" s="118">
        <v>0</v>
      </c>
      <c r="B32" s="4" t="s">
        <v>77</v>
      </c>
      <c r="C32" s="218"/>
      <c r="D32" s="3"/>
      <c r="E32" s="118">
        <v>2</v>
      </c>
      <c r="F32" s="4" t="s">
        <v>8</v>
      </c>
      <c r="G32" s="19">
        <f>VLOOKUP(E32,'טבלת עזר לחישוב'!$B$4:$D$6,3,TRUE)+(E32-VLOOKUP(E32,'טבלת עזר לחישוב'!$B$4:$D$6,1,TRUE))*VLOOKUP(E32,'טבלת עזר לחישוב'!$B$4:$D$6,2,TRUE)</f>
        <v>2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x14ac:dyDescent="0.2">
      <c r="A33" s="118">
        <v>2</v>
      </c>
      <c r="B33" s="4" t="s">
        <v>9</v>
      </c>
      <c r="C33" s="219">
        <f>VLOOKUP(A33+A34,'טבלת עזר לחישוב'!$B$4:$D$6,3,TRUE)+(A33-VLOOKUP(A33,'טבלת עזר לחישוב'!$B$4:$D$6,1,TRUE))*VLOOKUP(A33,'טבלת עזר לחישוב'!$B$4:$D$6,2,TRUE)</f>
        <v>2</v>
      </c>
      <c r="D33" s="3"/>
      <c r="E33" s="118">
        <v>0</v>
      </c>
      <c r="F33" s="4"/>
      <c r="G33" s="19">
        <f>VLOOKUP(E33,'טבלת עזר לחישוב'!$B$4:$D$6,3,TRUE)+(E33-VLOOKUP(E33,'טבלת עזר לחישוב'!$B$4:$D$6,1,TRUE))*VLOOKUP(E33,'טבלת עזר לחישוב'!$B$4:$D$6,2,TRUE)</f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x14ac:dyDescent="0.2">
      <c r="A34" s="118">
        <v>0</v>
      </c>
      <c r="B34" s="4" t="s">
        <v>78</v>
      </c>
      <c r="C34" s="218"/>
      <c r="D34" s="3"/>
      <c r="E34" s="118">
        <v>0</v>
      </c>
      <c r="F34" s="4"/>
      <c r="G34" s="19">
        <f>VLOOKUP(E34,'טבלת עזר לחישוב'!$B$4:$D$6,3,TRUE)+(E34-VLOOKUP(E34,'טבלת עזר לחישוב'!$B$4:$D$6,1,TRUE))*VLOOKUP(E34,'טבלת עזר לחישוב'!$B$4:$D$6,2,TRUE)</f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x14ac:dyDescent="0.2">
      <c r="A35" s="118">
        <v>0</v>
      </c>
      <c r="B35" s="4"/>
      <c r="C35" s="19">
        <f>VLOOKUP(A35,'טבלת עזר לחישוב'!$B$4:$D$6,3,TRUE)+(A35-VLOOKUP(A35,'טבלת עזר לחישוב'!$B$4:$D$6,1,TRUE))*VLOOKUP(A35,'טבלת עזר לחישוב'!$B$4:$D$6,2,TRUE)</f>
        <v>0</v>
      </c>
      <c r="D35" s="3"/>
      <c r="E35" s="118">
        <v>0</v>
      </c>
      <c r="F35" s="4"/>
      <c r="G35" s="19">
        <f>VLOOKUP(E35,'טבלת עזר לחישוב'!$B$4:$D$6,3,TRUE)+(E35-VLOOKUP(E35,'טבלת עזר לחישוב'!$B$4:$D$6,1,TRUE))*VLOOKUP(E35,'טבלת עזר לחישוב'!$B$4:$D$6,2,TRUE)</f>
        <v>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x14ac:dyDescent="0.2">
      <c r="A36" s="118">
        <v>0</v>
      </c>
      <c r="B36" s="4"/>
      <c r="C36" s="19">
        <f>VLOOKUP(A36,'טבלת עזר לחישוב'!$B$4:$D$6,3,TRUE)+(A36-VLOOKUP(A36,'טבלת עזר לחישוב'!$B$4:$D$6,1,TRUE))*VLOOKUP(A36,'טבלת עזר לחישוב'!$B$4:$D$6,2,TRUE)</f>
        <v>0</v>
      </c>
      <c r="D36" s="3"/>
      <c r="E36" s="118">
        <v>0</v>
      </c>
      <c r="F36" s="4"/>
      <c r="G36" s="19">
        <f>VLOOKUP(E36,'טבלת עזר לחישוב'!$B$4:$D$6,3,TRUE)+(E36-VLOOKUP(E36,'טבלת עזר לחישוב'!$B$4:$D$6,1,TRUE))*VLOOKUP(E36,'טבלת עזר לחישוב'!$B$4:$D$6,2,TRUE)</f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" thickBot="1" x14ac:dyDescent="0.25">
      <c r="A37" s="120">
        <v>0</v>
      </c>
      <c r="B37" s="7"/>
      <c r="C37" s="19">
        <f>VLOOKUP(A37,'טבלת עזר לחישוב'!$B$4:$D$6,3,TRUE)+(A37-VLOOKUP(A37,'טבלת עזר לחישוב'!$B$4:$D$6,1,TRUE))*VLOOKUP(A37,'טבלת עזר לחישוב'!$B$4:$D$6,2,TRUE)</f>
        <v>0</v>
      </c>
      <c r="D37" s="3"/>
      <c r="E37" s="120">
        <v>0</v>
      </c>
      <c r="F37" s="7"/>
      <c r="G37" s="19">
        <f>VLOOKUP(E37,'טבלת עזר לחישוב'!$B$4:$D$6,3,TRUE)+(E37-VLOOKUP(E37,'טבלת עזר לחישוב'!$B$4:$D$6,1,TRUE))*VLOOKUP(E37,'טבלת עזר לחישוב'!$B$4:$D$6,2,TRUE)</f>
        <v>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" thickBot="1" x14ac:dyDescent="0.25">
      <c r="A38" s="26">
        <f>SUM(A31:A37)</f>
        <v>4</v>
      </c>
      <c r="B38" s="27" t="s">
        <v>30</v>
      </c>
      <c r="C38" s="28">
        <f>SUM(C31:C37)</f>
        <v>4</v>
      </c>
      <c r="D38" s="3"/>
      <c r="E38" s="26">
        <f>SUM(E31:E37)</f>
        <v>3</v>
      </c>
      <c r="F38" s="27" t="s">
        <v>30</v>
      </c>
      <c r="G38" s="28">
        <f>SUM(G31:G37)</f>
        <v>3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" thickBo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x14ac:dyDescent="0.2">
      <c r="A41" s="208" t="s">
        <v>75</v>
      </c>
      <c r="B41" s="209"/>
      <c r="C41" s="210"/>
      <c r="D41" s="3"/>
      <c r="E41" s="211" t="s">
        <v>46</v>
      </c>
      <c r="F41" s="212"/>
      <c r="G41" s="21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x14ac:dyDescent="0.2">
      <c r="A42" s="202" t="s">
        <v>53</v>
      </c>
      <c r="B42" s="203"/>
      <c r="C42" s="204"/>
      <c r="D42" s="3"/>
      <c r="E42" s="205" t="s">
        <v>54</v>
      </c>
      <c r="F42" s="206"/>
      <c r="G42" s="207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43.5" thickBot="1" x14ac:dyDescent="0.25">
      <c r="A43" s="20" t="s">
        <v>48</v>
      </c>
      <c r="B43" s="21" t="s">
        <v>47</v>
      </c>
      <c r="C43" s="22" t="s">
        <v>50</v>
      </c>
      <c r="D43" s="3"/>
      <c r="E43" s="20" t="s">
        <v>48</v>
      </c>
      <c r="F43" s="21" t="s">
        <v>47</v>
      </c>
      <c r="G43" s="22" t="s">
        <v>50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" thickTop="1" x14ac:dyDescent="0.2">
      <c r="A44" s="117">
        <v>1</v>
      </c>
      <c r="B44" s="18" t="s">
        <v>38</v>
      </c>
      <c r="C44" s="19">
        <f>IF(A44&gt;=1,1,0)</f>
        <v>1</v>
      </c>
      <c r="D44" s="3"/>
      <c r="E44" s="117">
        <v>1</v>
      </c>
      <c r="F44" s="18" t="s">
        <v>13</v>
      </c>
      <c r="G44" s="19">
        <v>0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x14ac:dyDescent="0.2">
      <c r="A45" s="118">
        <v>1</v>
      </c>
      <c r="B45" s="4" t="s">
        <v>37</v>
      </c>
      <c r="C45" s="19">
        <f t="shared" ref="C45:C50" si="0">IF(A45&gt;=1,1,0)</f>
        <v>1</v>
      </c>
      <c r="D45" s="3"/>
      <c r="E45" s="118">
        <v>1</v>
      </c>
      <c r="F45" s="4" t="s">
        <v>10</v>
      </c>
      <c r="G45" s="19">
        <v>0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x14ac:dyDescent="0.2">
      <c r="A46" s="118">
        <v>1</v>
      </c>
      <c r="B46" s="4" t="s">
        <v>39</v>
      </c>
      <c r="C46" s="19">
        <f t="shared" si="0"/>
        <v>1</v>
      </c>
      <c r="D46" s="3"/>
      <c r="E46" s="118">
        <v>0</v>
      </c>
      <c r="F46" s="4" t="s">
        <v>12</v>
      </c>
      <c r="G46" s="19">
        <v>0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x14ac:dyDescent="0.2">
      <c r="A47" s="118">
        <v>1</v>
      </c>
      <c r="B47" s="4" t="s">
        <v>40</v>
      </c>
      <c r="C47" s="19">
        <f t="shared" si="0"/>
        <v>1</v>
      </c>
      <c r="D47" s="3"/>
      <c r="E47" s="118">
        <v>10</v>
      </c>
      <c r="F47" s="4" t="s">
        <v>11</v>
      </c>
      <c r="G47" s="19">
        <v>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x14ac:dyDescent="0.2">
      <c r="A48" s="118">
        <v>1</v>
      </c>
      <c r="B48" s="4" t="s">
        <v>41</v>
      </c>
      <c r="C48" s="19">
        <f t="shared" si="0"/>
        <v>1</v>
      </c>
      <c r="D48" s="3"/>
      <c r="E48" s="118">
        <v>0</v>
      </c>
      <c r="F48" s="4"/>
      <c r="G48" s="17">
        <v>0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x14ac:dyDescent="0.2">
      <c r="A49" s="118">
        <v>1</v>
      </c>
      <c r="B49" s="4" t="s">
        <v>42</v>
      </c>
      <c r="C49" s="19">
        <f t="shared" si="0"/>
        <v>1</v>
      </c>
      <c r="D49" s="3"/>
      <c r="E49" s="118">
        <v>0</v>
      </c>
      <c r="F49" s="4"/>
      <c r="G49" s="17">
        <v>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" thickBot="1" x14ac:dyDescent="0.25">
      <c r="A50" s="119"/>
      <c r="B50" s="29"/>
      <c r="C50" s="19">
        <f t="shared" si="0"/>
        <v>0</v>
      </c>
      <c r="D50" s="3"/>
      <c r="E50" s="119">
        <v>0</v>
      </c>
      <c r="F50" s="29"/>
      <c r="G50" s="25">
        <v>0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" thickBot="1" x14ac:dyDescent="0.25">
      <c r="A51" s="26">
        <f>SUM(A44:A50)</f>
        <v>6</v>
      </c>
      <c r="B51" s="27" t="s">
        <v>30</v>
      </c>
      <c r="C51" s="28">
        <f>SUM(C44:C50)</f>
        <v>6</v>
      </c>
      <c r="D51" s="3"/>
      <c r="E51" s="26">
        <f>SUM(E44:E50)</f>
        <v>12</v>
      </c>
      <c r="F51" s="27" t="s">
        <v>30</v>
      </c>
      <c r="G51" s="28">
        <f>SUM(G44:G50)</f>
        <v>0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x14ac:dyDescent="0.2">
      <c r="W62" s="3"/>
      <c r="X62" s="3"/>
      <c r="Y62" s="3"/>
    </row>
  </sheetData>
  <mergeCells count="21">
    <mergeCell ref="A42:C42"/>
    <mergeCell ref="E42:G42"/>
    <mergeCell ref="A41:C41"/>
    <mergeCell ref="E41:G41"/>
    <mergeCell ref="C18:C19"/>
    <mergeCell ref="C20:C21"/>
    <mergeCell ref="C31:C32"/>
    <mergeCell ref="C33:C34"/>
    <mergeCell ref="A1:B1"/>
    <mergeCell ref="A15:C16"/>
    <mergeCell ref="E15:G16"/>
    <mergeCell ref="A28:C29"/>
    <mergeCell ref="E28:G29"/>
    <mergeCell ref="A8:B8"/>
    <mergeCell ref="A9:B9"/>
    <mergeCell ref="A10:B10"/>
    <mergeCell ref="A11:B11"/>
    <mergeCell ref="A3:B3"/>
    <mergeCell ref="E8:E10"/>
    <mergeCell ref="A4:B4"/>
    <mergeCell ref="A5:B5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CE41A645072DBE43A04FE3689258FDA3" ma:contentTypeVersion="18" ma:contentTypeDescription="צור מסמך חדש." ma:contentTypeScope="" ma:versionID="4ab32e6416f7d07b04fe7393931970b8">
  <xsd:schema xmlns:xsd="http://www.w3.org/2001/XMLSchema" xmlns:xs="http://www.w3.org/2001/XMLSchema" xmlns:p="http://schemas.microsoft.com/office/2006/metadata/properties" xmlns:ns2="d3302317-b947-4d6a-8a2c-aca95caa1a51" xmlns:ns3="1f3b4cbf-286f-444e-a414-ba62534bdfd6" targetNamespace="http://schemas.microsoft.com/office/2006/metadata/properties" ma:root="true" ma:fieldsID="725b9c848ada351ee0622aba385a17db" ns2:_="" ns3:_="">
    <xsd:import namespace="d3302317-b947-4d6a-8a2c-aca95caa1a51"/>
    <xsd:import namespace="1f3b4cbf-286f-444e-a414-ba62534bdf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_Flow_SignoffStatu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2317-b947-4d6a-8a2c-aca95caa1a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מצב הסכמה" ma:internalName="_x05de__x05e6__x05d1__x0020__x05d4__x05e1__x05db__x05de__x05d4_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תגיות תמונה" ma:readOnly="false" ma:fieldId="{5cf76f15-5ced-4ddc-b409-7134ff3c332f}" ma:taxonomyMulti="true" ma:sspId="eecebd25-87bf-4d07-b34d-5a6ab0ef11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3b4cbf-286f-444e-a414-ba62534bdfd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302317-b947-4d6a-8a2c-aca95caa1a51">
      <Terms xmlns="http://schemas.microsoft.com/office/infopath/2007/PartnerControls"/>
    </lcf76f155ced4ddcb4097134ff3c332f>
    <_Flow_SignoffStatus xmlns="d3302317-b947-4d6a-8a2c-aca95caa1a51" xsi:nil="true"/>
  </documentManagement>
</p:properties>
</file>

<file path=customXml/itemProps1.xml><?xml version="1.0" encoding="utf-8"?>
<ds:datastoreItem xmlns:ds="http://schemas.openxmlformats.org/officeDocument/2006/customXml" ds:itemID="{3EABF891-4AB4-40A2-A032-E2D5AED7E7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6A46B6-C34E-4DC9-8AF1-66CD79B146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02317-b947-4d6a-8a2c-aca95caa1a51"/>
    <ds:schemaRef ds:uri="1f3b4cbf-286f-444e-a414-ba62534bdf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503E6E-4983-49CD-AED7-A4AA8EACF287}">
  <ds:schemaRefs>
    <ds:schemaRef ds:uri="http://purl.org/dc/terms/"/>
    <ds:schemaRef ds:uri="http://schemas.microsoft.com/office/2006/documentManagement/types"/>
    <ds:schemaRef ds:uri="http://purl.org/dc/dcmitype/"/>
    <ds:schemaRef ds:uri="d3302317-b947-4d6a-8a2c-aca95caa1a51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f3b4cbf-286f-444e-a414-ba62534bdfd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2</vt:i4>
      </vt:variant>
    </vt:vector>
  </HeadingPairs>
  <TitlesOfParts>
    <vt:vector size="5" baseType="lpstr">
      <vt:lpstr>טבלת עזר לחישוב</vt:lpstr>
      <vt:lpstr>חישוב שכ"ט מתאם מנהרת תשתיות</vt:lpstr>
      <vt:lpstr>חתך המנהרה</vt:lpstr>
      <vt:lpstr>'חישוב שכ"ט מתאם מנהרת תשתיות'!WPrint_Area_W</vt:lpstr>
      <vt:lpstr>'חתך המנהרה'!WPrint_Area_W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ירדן אבני</dc:creator>
  <cp:lastModifiedBy>Eliana Marcus</cp:lastModifiedBy>
  <cp:lastPrinted>2023-06-12T17:06:25Z</cp:lastPrinted>
  <dcterms:created xsi:type="dcterms:W3CDTF">2022-06-14T08:39:02Z</dcterms:created>
  <dcterms:modified xsi:type="dcterms:W3CDTF">2023-06-22T11:39:05Z</dcterms:modified>
  <dc:description>חטיבת מטה</dc:descript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0x010100CE41A645072DBE43A04FE3689258FDA3</vt:lpwstr>
  </property>
  <property fmtid="{D5CDD505-2E9C-101B-9397-08002B2CF9AE}" pid="3" name="m7399977f5544d58bb638ec7511e082f">
    <vt:lpwstr/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Tags">
    <vt:lpwstr/>
  </property>
  <property fmtid="{D5CDD505-2E9C-101B-9397-08002B2CF9AE}" pid="7" name="doc_id">
    <vt:lpwstr>55531_NTA</vt:lpwstr>
  </property>
</Properties>
</file>